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ropbox\My work\Family Jewels\ET coding sheets\ET worksheets for XD\"/>
    </mc:Choice>
  </mc:AlternateContent>
  <xr:revisionPtr revIDLastSave="0" documentId="8_{3B64899B-4B4B-4F35-A0AE-1E75FC7F3941}" xr6:coauthVersionLast="47" xr6:coauthVersionMax="47" xr10:uidLastSave="{00000000-0000-0000-0000-000000000000}"/>
  <bookViews>
    <workbookView xWindow="-108" yWindow="-108" windowWidth="23256" windowHeight="12456" xr2:uid="{56723F5A-E310-478F-A2D1-7B1BBFADC2F9}"/>
  </bookViews>
  <sheets>
    <sheet name="Inputs and calcs" sheetId="1" r:id="rId1"/>
    <sheet name="cash Flo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M75" i="1" s="1"/>
  <c r="C109" i="1"/>
  <c r="P59" i="1" s="1"/>
  <c r="C75" i="1"/>
  <c r="C88" i="1"/>
  <c r="C90" i="1" s="1"/>
  <c r="C76" i="1"/>
  <c r="C78" i="1"/>
  <c r="C74" i="1"/>
  <c r="D58" i="1"/>
  <c r="E58" i="1" s="1"/>
  <c r="D65" i="1"/>
  <c r="E65" i="1" s="1"/>
  <c r="F40" i="1"/>
  <c r="G40" i="1" s="1"/>
  <c r="F34" i="1"/>
  <c r="G34" i="1" s="1"/>
  <c r="F25" i="1"/>
  <c r="G25" i="1" s="1"/>
  <c r="F24" i="1"/>
  <c r="G24" i="1" s="1"/>
  <c r="F41" i="1"/>
  <c r="G41" i="1" s="1"/>
  <c r="F32" i="1"/>
  <c r="G32" i="1" s="1"/>
  <c r="F35" i="1"/>
  <c r="G35" i="1" s="1"/>
  <c r="M59" i="1" l="1"/>
  <c r="C80" i="1"/>
  <c r="C7" i="2"/>
  <c r="J22" i="2"/>
  <c r="C22" i="2"/>
  <c r="D20" i="2"/>
  <c r="M22" i="2"/>
  <c r="P75" i="1"/>
  <c r="L20" i="2"/>
  <c r="K22" i="2"/>
  <c r="M20" i="2"/>
  <c r="E22" i="2"/>
  <c r="G20" i="2"/>
  <c r="E20" i="2"/>
  <c r="F20" i="2"/>
  <c r="L22" i="2"/>
  <c r="D22" i="2"/>
  <c r="K20" i="2"/>
  <c r="C20" i="2"/>
  <c r="I22" i="2"/>
  <c r="B22" i="2"/>
  <c r="J20" i="2"/>
  <c r="H22" i="2"/>
  <c r="B20" i="2"/>
  <c r="I20" i="2"/>
  <c r="G22" i="2"/>
  <c r="H20" i="2"/>
  <c r="F22" i="2"/>
  <c r="J7" i="2"/>
  <c r="G7" i="2"/>
  <c r="B7" i="2"/>
  <c r="F7" i="2"/>
  <c r="M7" i="2"/>
  <c r="E7" i="2"/>
  <c r="I7" i="2"/>
  <c r="H7" i="2"/>
  <c r="L7" i="2"/>
  <c r="D7" i="2"/>
  <c r="K7" i="2"/>
  <c r="B5" i="2"/>
  <c r="L5" i="2"/>
  <c r="G5" i="2"/>
  <c r="H5" i="2"/>
  <c r="F5" i="2"/>
  <c r="D5" i="2"/>
  <c r="I5" i="2"/>
  <c r="M5" i="2"/>
  <c r="E5" i="2"/>
  <c r="K5" i="2"/>
  <c r="C5" i="2"/>
  <c r="J5" i="2"/>
  <c r="C98" i="1"/>
  <c r="F37" i="1"/>
  <c r="G37" i="1" s="1"/>
  <c r="F31" i="1"/>
  <c r="F39" i="1"/>
  <c r="G39" i="1" s="1"/>
  <c r="F38" i="1"/>
  <c r="G38" i="1" s="1"/>
  <c r="F36" i="1"/>
  <c r="G36" i="1" s="1"/>
  <c r="F30" i="1"/>
  <c r="G30" i="1" s="1"/>
  <c r="F29" i="1"/>
  <c r="G29" i="1" s="1"/>
  <c r="F28" i="1"/>
  <c r="G28" i="1" s="1"/>
  <c r="F27" i="1"/>
  <c r="G27" i="1" s="1"/>
  <c r="F26" i="1"/>
  <c r="G26" i="1" s="1"/>
  <c r="F23" i="1"/>
  <c r="G23" i="1" s="1"/>
  <c r="F22" i="1"/>
  <c r="G22" i="1" s="1"/>
  <c r="F45" i="1" s="1"/>
  <c r="N20" i="2" l="1"/>
  <c r="N22" i="2"/>
  <c r="B6" i="2"/>
  <c r="C21" i="2"/>
  <c r="K21" i="2"/>
  <c r="H21" i="2"/>
  <c r="D21" i="2"/>
  <c r="L21" i="2"/>
  <c r="E21" i="2"/>
  <c r="M21" i="2"/>
  <c r="F21" i="2"/>
  <c r="B21" i="2"/>
  <c r="G21" i="2"/>
  <c r="I21" i="2"/>
  <c r="J21" i="2"/>
  <c r="N7" i="2"/>
  <c r="N5" i="2"/>
  <c r="E12" i="2"/>
  <c r="J12" i="2"/>
  <c r="F12" i="2"/>
  <c r="K12" i="2"/>
  <c r="C12" i="2"/>
  <c r="B12" i="2"/>
  <c r="G12" i="2"/>
  <c r="H12" i="2"/>
  <c r="L12" i="2"/>
  <c r="M12" i="2" s="1"/>
  <c r="I12" i="2"/>
  <c r="D12" i="2"/>
  <c r="D98" i="1"/>
  <c r="C91" i="1"/>
  <c r="E6" i="2"/>
  <c r="M6" i="2"/>
  <c r="J6" i="2"/>
  <c r="F6" i="2"/>
  <c r="G6" i="2"/>
  <c r="I6" i="2"/>
  <c r="D6" i="2"/>
  <c r="L6" i="2"/>
  <c r="H6" i="2"/>
  <c r="K6" i="2"/>
  <c r="C6" i="2"/>
  <c r="F42" i="1"/>
  <c r="G31" i="1"/>
  <c r="G42" i="1" s="1"/>
  <c r="N21" i="2" l="1"/>
  <c r="K59" i="1"/>
  <c r="D13" i="2"/>
  <c r="K60" i="1" s="1"/>
  <c r="M13" i="2"/>
  <c r="G13" i="2"/>
  <c r="J13" i="2"/>
  <c r="N12" i="2"/>
  <c r="O13" i="2" s="1"/>
  <c r="N6" i="2"/>
  <c r="C57" i="1"/>
  <c r="D57" i="1" s="1"/>
  <c r="E57" i="1" s="1"/>
  <c r="E59" i="1" s="1"/>
  <c r="L59" i="1" s="1"/>
  <c r="C64" i="1"/>
  <c r="D64" i="1" s="1"/>
  <c r="E64" i="1" s="1"/>
  <c r="E66" i="1" s="1"/>
  <c r="L75" i="1" s="1"/>
  <c r="G45" i="1"/>
  <c r="O59" i="1" l="1"/>
  <c r="K75" i="1"/>
  <c r="O75" i="1" s="1"/>
  <c r="E19" i="2"/>
  <c r="M19" i="2"/>
  <c r="B19" i="2"/>
  <c r="F19" i="2"/>
  <c r="G19" i="2"/>
  <c r="H19" i="2"/>
  <c r="I19" i="2"/>
  <c r="J19" i="2"/>
  <c r="L19" i="2"/>
  <c r="C19" i="2"/>
  <c r="K19" i="2"/>
  <c r="D19" i="2"/>
  <c r="K80" i="1"/>
  <c r="K84" i="1"/>
  <c r="K76" i="1"/>
  <c r="K86" i="1"/>
  <c r="K78" i="1"/>
  <c r="K82" i="1"/>
  <c r="K87" i="1"/>
  <c r="K79" i="1"/>
  <c r="K83" i="1"/>
  <c r="K81" i="1"/>
  <c r="K85" i="1"/>
  <c r="K77" i="1"/>
  <c r="K61" i="1"/>
  <c r="K69" i="1"/>
  <c r="K65" i="1"/>
  <c r="K63" i="1"/>
  <c r="K71" i="1"/>
  <c r="K67" i="1"/>
  <c r="K62" i="1"/>
  <c r="K70" i="1"/>
  <c r="K66" i="1"/>
  <c r="K68" i="1"/>
  <c r="K64" i="1"/>
  <c r="F59" i="1"/>
  <c r="E4" i="2"/>
  <c r="M4" i="2"/>
  <c r="F4" i="2"/>
  <c r="C4" i="2"/>
  <c r="G4" i="2"/>
  <c r="B4" i="2"/>
  <c r="B8" i="2" s="1"/>
  <c r="K4" i="2"/>
  <c r="H4" i="2"/>
  <c r="D4" i="2"/>
  <c r="I4" i="2"/>
  <c r="J4" i="2"/>
  <c r="L4" i="2"/>
  <c r="F66" i="1"/>
  <c r="E70" i="1"/>
  <c r="E71" i="1"/>
  <c r="J24" i="2" l="1"/>
  <c r="L82" i="1" s="1"/>
  <c r="M24" i="2"/>
  <c r="L87" i="1" s="1"/>
  <c r="D24" i="2"/>
  <c r="B23" i="2"/>
  <c r="N23" i="2" s="1"/>
  <c r="N19" i="2"/>
  <c r="O23" i="2" s="1"/>
  <c r="O24" i="2" s="1"/>
  <c r="G24" i="2"/>
  <c r="D9" i="2"/>
  <c r="G9" i="2"/>
  <c r="J9" i="2"/>
  <c r="M9" i="2"/>
  <c r="N4" i="2"/>
  <c r="L86" i="1" l="1"/>
  <c r="L83" i="1"/>
  <c r="L78" i="1"/>
  <c r="L71" i="1"/>
  <c r="M14" i="2"/>
  <c r="L70" i="1"/>
  <c r="J14" i="2"/>
  <c r="L69" i="1"/>
  <c r="G14" i="2"/>
  <c r="L79" i="1"/>
  <c r="N9" i="2"/>
  <c r="L85" i="1"/>
  <c r="L77" i="1"/>
  <c r="L81" i="1"/>
  <c r="L84" i="1"/>
  <c r="L76" i="1"/>
  <c r="N24" i="2"/>
  <c r="L80" i="1"/>
  <c r="O8" i="2"/>
  <c r="O14" i="2" s="1"/>
  <c r="L68" i="1"/>
  <c r="L60" i="1"/>
  <c r="L63" i="1"/>
  <c r="L67" i="1"/>
  <c r="L61" i="1"/>
  <c r="L65" i="1"/>
  <c r="L62" i="1"/>
  <c r="L66" i="1"/>
  <c r="L64" i="1"/>
  <c r="D14" i="2"/>
  <c r="M76" i="1" l="1"/>
  <c r="U77" i="1" s="1"/>
  <c r="U76" i="1"/>
  <c r="U60" i="1"/>
  <c r="V76" i="1" l="1"/>
  <c r="W76" i="1" s="1"/>
  <c r="M77" i="1" s="1"/>
  <c r="U78" i="1" s="1"/>
  <c r="O76" i="1"/>
  <c r="X76" i="1" s="1"/>
  <c r="Y76" i="1" s="1"/>
  <c r="P76" i="1" s="1"/>
  <c r="M60" i="1"/>
  <c r="O60" i="1" s="1"/>
  <c r="Q76" i="1" l="1"/>
  <c r="R76" i="1" s="1"/>
  <c r="O77" i="1"/>
  <c r="X77" i="1" s="1"/>
  <c r="Y77" i="1" s="1"/>
  <c r="P77" i="1" s="1"/>
  <c r="V77" i="1"/>
  <c r="W77" i="1" s="1"/>
  <c r="M78" i="1" s="1"/>
  <c r="V78" i="1" s="1"/>
  <c r="W78" i="1" s="1"/>
  <c r="M79" i="1" s="1"/>
  <c r="U61" i="1"/>
  <c r="V60" i="1"/>
  <c r="W60" i="1" s="1"/>
  <c r="Q77" i="1" l="1"/>
  <c r="O78" i="1"/>
  <c r="X78" i="1" s="1"/>
  <c r="Y78" i="1" s="1"/>
  <c r="P78" i="1" s="1"/>
  <c r="U79" i="1"/>
  <c r="V79" i="1" s="1"/>
  <c r="W79" i="1" s="1"/>
  <c r="M80" i="1" s="1"/>
  <c r="M61" i="1"/>
  <c r="O61" i="1" s="1"/>
  <c r="Q78" i="1" l="1"/>
  <c r="R77" i="1"/>
  <c r="O79" i="1"/>
  <c r="U80" i="1"/>
  <c r="V80" i="1" s="1"/>
  <c r="W80" i="1" s="1"/>
  <c r="M81" i="1" s="1"/>
  <c r="R78" i="1" l="1"/>
  <c r="U81" i="1"/>
  <c r="V81" i="1" s="1"/>
  <c r="W81" i="1" s="1"/>
  <c r="M82" i="1" s="1"/>
  <c r="X79" i="1"/>
  <c r="Y79" i="1" s="1"/>
  <c r="P79" i="1" s="1"/>
  <c r="Q79" i="1" s="1"/>
  <c r="O80" i="1"/>
  <c r="U82" i="1" s="1"/>
  <c r="R79" i="1" l="1"/>
  <c r="V82" i="1"/>
  <c r="W82" i="1" s="1"/>
  <c r="M83" i="1" s="1"/>
  <c r="X80" i="1"/>
  <c r="Y80" i="1" s="1"/>
  <c r="P80" i="1" s="1"/>
  <c r="Q80" i="1" s="1"/>
  <c r="O81" i="1"/>
  <c r="R80" i="1" l="1"/>
  <c r="X81" i="1"/>
  <c r="Y81" i="1" s="1"/>
  <c r="P81" i="1" s="1"/>
  <c r="Q81" i="1" s="1"/>
  <c r="O82" i="1"/>
  <c r="U83" i="1"/>
  <c r="V83" i="1" s="1"/>
  <c r="W83" i="1" s="1"/>
  <c r="M84" i="1" s="1"/>
  <c r="R81" i="1" l="1"/>
  <c r="X82" i="1"/>
  <c r="Y82" i="1" s="1"/>
  <c r="P82" i="1" s="1"/>
  <c r="O83" i="1"/>
  <c r="U84" i="1"/>
  <c r="V84" i="1" s="1"/>
  <c r="W84" i="1" s="1"/>
  <c r="M85" i="1" s="1"/>
  <c r="Q82" i="1" l="1"/>
  <c r="X83" i="1"/>
  <c r="Y83" i="1" s="1"/>
  <c r="P83" i="1" s="1"/>
  <c r="O84" i="1"/>
  <c r="U85" i="1"/>
  <c r="V85" i="1" s="1"/>
  <c r="W85" i="1" s="1"/>
  <c r="M86" i="1" s="1"/>
  <c r="V61" i="1"/>
  <c r="X84" i="1" l="1"/>
  <c r="Y84" i="1" s="1"/>
  <c r="P84" i="1" s="1"/>
  <c r="Q83" i="1"/>
  <c r="R82" i="1"/>
  <c r="W61" i="1"/>
  <c r="M62" i="1" s="1"/>
  <c r="U62" i="1"/>
  <c r="Q84" i="1" l="1"/>
  <c r="R84" i="1" s="1"/>
  <c r="R83" i="1"/>
  <c r="U63" i="1"/>
  <c r="O62" i="1"/>
  <c r="O85" i="1"/>
  <c r="X85" i="1" s="1"/>
  <c r="Y85" i="1" s="1"/>
  <c r="P85" i="1" s="1"/>
  <c r="U86" i="1"/>
  <c r="V86" i="1" s="1"/>
  <c r="W86" i="1" s="1"/>
  <c r="M87" i="1" s="1"/>
  <c r="V62" i="1"/>
  <c r="Q85" i="1" l="1"/>
  <c r="R85" i="1" s="1"/>
  <c r="W62" i="1"/>
  <c r="M63" i="1" s="1"/>
  <c r="O63" i="1" l="1"/>
  <c r="O86" i="1"/>
  <c r="X86" i="1" s="1"/>
  <c r="Y86" i="1" s="1"/>
  <c r="P86" i="1" s="1"/>
  <c r="U87" i="1"/>
  <c r="V87" i="1" s="1"/>
  <c r="W87" i="1" s="1"/>
  <c r="V63" i="1"/>
  <c r="W63" i="1" s="1"/>
  <c r="U64" i="1"/>
  <c r="Q86" i="1" l="1"/>
  <c r="M64" i="1"/>
  <c r="O64" i="1" s="1"/>
  <c r="O87" i="1"/>
  <c r="R86" i="1" l="1"/>
  <c r="U65" i="1"/>
  <c r="V64" i="1"/>
  <c r="W64" i="1" s="1"/>
  <c r="M65" i="1" s="1"/>
  <c r="O65" i="1" s="1"/>
  <c r="X87" i="1"/>
  <c r="Y87" i="1" s="1"/>
  <c r="P87" i="1" s="1"/>
  <c r="Q87" i="1" l="1"/>
  <c r="R87" i="1" s="1"/>
  <c r="U66" i="1"/>
  <c r="V65" i="1"/>
  <c r="W65" i="1" s="1"/>
  <c r="M66" i="1" s="1"/>
  <c r="U67" i="1" s="1"/>
  <c r="V66" i="1" l="1"/>
  <c r="W66" i="1" s="1"/>
  <c r="M67" i="1" s="1"/>
  <c r="U68" i="1" s="1"/>
  <c r="O66" i="1"/>
  <c r="V67" i="1" l="1"/>
  <c r="W67" i="1" s="1"/>
  <c r="M68" i="1" s="1"/>
  <c r="U69" i="1" s="1"/>
  <c r="O67" i="1"/>
  <c r="O68" i="1" l="1"/>
  <c r="V68" i="1"/>
  <c r="W68" i="1" s="1"/>
  <c r="M69" i="1" s="1"/>
  <c r="O69" i="1" l="1"/>
  <c r="V69" i="1"/>
  <c r="W69" i="1" s="1"/>
  <c r="M70" i="1" s="1"/>
  <c r="O70" i="1" s="1"/>
  <c r="U70" i="1"/>
  <c r="V70" i="1" s="1"/>
  <c r="W70" i="1" s="1"/>
  <c r="M71" i="1" s="1"/>
  <c r="U71" i="1" l="1"/>
  <c r="V71" i="1" s="1"/>
  <c r="W71" i="1" s="1"/>
  <c r="O71" i="1"/>
  <c r="X60" i="1"/>
  <c r="Y60" i="1" s="1"/>
  <c r="P60" i="1" l="1"/>
  <c r="Q60" i="1" l="1"/>
  <c r="R60" i="1" s="1"/>
  <c r="X61" i="1"/>
  <c r="Y61" i="1" s="1"/>
  <c r="P61" i="1" s="1"/>
  <c r="Q61" i="1" l="1"/>
  <c r="R61" i="1" s="1"/>
  <c r="X62" i="1"/>
  <c r="Y62" i="1" s="1"/>
  <c r="P62" i="1" s="1"/>
  <c r="X63" i="1" l="1"/>
  <c r="Y63" i="1" s="1"/>
  <c r="P63" i="1" s="1"/>
  <c r="Q62" i="1"/>
  <c r="Q63" i="1" l="1"/>
  <c r="R63" i="1" s="1"/>
  <c r="X64" i="1"/>
  <c r="Y64" i="1" s="1"/>
  <c r="P64" i="1" s="1"/>
  <c r="R62" i="1"/>
  <c r="X65" i="1" l="1"/>
  <c r="Y65" i="1" s="1"/>
  <c r="P65" i="1" s="1"/>
  <c r="Q64" i="1"/>
  <c r="R64" i="1" s="1"/>
  <c r="Q65" i="1" l="1"/>
  <c r="R65" i="1" s="1"/>
  <c r="X66" i="1"/>
  <c r="Y66" i="1" s="1"/>
  <c r="P66" i="1" s="1"/>
  <c r="X67" i="1" l="1"/>
  <c r="Y67" i="1" s="1"/>
  <c r="P67" i="1" s="1"/>
  <c r="Q66" i="1"/>
  <c r="Q67" i="1" l="1"/>
  <c r="R67" i="1" s="1"/>
  <c r="X68" i="1"/>
  <c r="Y68" i="1" s="1"/>
  <c r="P68" i="1" s="1"/>
  <c r="X69" i="1" s="1"/>
  <c r="Y69" i="1" s="1"/>
  <c r="P69" i="1" s="1"/>
  <c r="R66" i="1"/>
  <c r="Q68" i="1" l="1"/>
  <c r="R68" i="1" s="1"/>
  <c r="X70" i="1"/>
  <c r="Y70" i="1" s="1"/>
  <c r="P70" i="1" s="1"/>
  <c r="Q69" i="1" l="1"/>
  <c r="R69" i="1" s="1"/>
  <c r="X71" i="1"/>
  <c r="Y71" i="1" s="1"/>
  <c r="P71" i="1" s="1"/>
  <c r="Q70" i="1" l="1"/>
  <c r="R70" i="1" s="1"/>
  <c r="Q71" i="1" l="1"/>
  <c r="R71" i="1" s="1"/>
</calcChain>
</file>

<file path=xl/sharedStrings.xml><?xml version="1.0" encoding="utf-8"?>
<sst xmlns="http://schemas.openxmlformats.org/spreadsheetml/2006/main" count="193" uniqueCount="134">
  <si>
    <t>month</t>
  </si>
  <si>
    <t>day</t>
  </si>
  <si>
    <t>standard care level</t>
  </si>
  <si>
    <t>TV</t>
  </si>
  <si>
    <t>Dad move in fee waived</t>
  </si>
  <si>
    <t xml:space="preserve"> </t>
  </si>
  <si>
    <t>No security payment</t>
  </si>
  <si>
    <t>Level 1 Physical assistance</t>
  </si>
  <si>
    <t>level 2 all activities, daily living</t>
  </si>
  <si>
    <t>Level 3 Substaintial 2 person assisted with bed lift eq.</t>
  </si>
  <si>
    <t>medication management (constant)</t>
  </si>
  <si>
    <t>His own "large studio apt"</t>
  </si>
  <si>
    <t>Mom alone</t>
  </si>
  <si>
    <t>Do these numbers include a separate aide?</t>
  </si>
  <si>
    <t>Or when does this kick in?</t>
  </si>
  <si>
    <t>In room meal delivery (per meal or day)</t>
  </si>
  <si>
    <t>unable to lift themselves</t>
  </si>
  <si>
    <t>garage (indoor)</t>
  </si>
  <si>
    <t>His own "spacious One bedroom"</t>
  </si>
  <si>
    <t>in-room phone?</t>
  </si>
  <si>
    <t>One Bedroom Single</t>
  </si>
  <si>
    <r>
      <t>One Bedroom Double</t>
    </r>
    <r>
      <rPr>
        <b/>
        <sz val="11"/>
        <color theme="1"/>
        <rFont val="Calibri"/>
        <family val="2"/>
        <scheme val="minor"/>
      </rPr>
      <t xml:space="preserve"> (click if Dad included)</t>
    </r>
  </si>
  <si>
    <t>DAY</t>
  </si>
  <si>
    <t>Investments</t>
  </si>
  <si>
    <t>2 years</t>
  </si>
  <si>
    <t>taxes</t>
  </si>
  <si>
    <t>oil</t>
  </si>
  <si>
    <t>food</t>
  </si>
  <si>
    <t>electricity</t>
  </si>
  <si>
    <t>maintanence</t>
  </si>
  <si>
    <t>other utilities</t>
  </si>
  <si>
    <t>car exp</t>
  </si>
  <si>
    <t>TV /Internet/ph</t>
  </si>
  <si>
    <t>Income</t>
  </si>
  <si>
    <t>Dad pension</t>
  </si>
  <si>
    <t>dad social sec</t>
  </si>
  <si>
    <t>mom social se</t>
  </si>
  <si>
    <t>dad net inv</t>
  </si>
  <si>
    <t>1 year</t>
  </si>
  <si>
    <t>Income(recurring)</t>
  </si>
  <si>
    <t>SCENARIO ONE</t>
  </si>
  <si>
    <t>SCENARIO TWO</t>
  </si>
  <si>
    <t xml:space="preserve">dad at home w companion 24/7 ($300/DAY) </t>
  </si>
  <si>
    <t>Emergency repair</t>
  </si>
  <si>
    <t>Grand total</t>
  </si>
  <si>
    <t>sub total</t>
  </si>
  <si>
    <t>mom facilty -room and level indicated above</t>
  </si>
  <si>
    <t>Estimated cash flow over two scenarios incl. facility, companion(s), house exp.</t>
  </si>
  <si>
    <t>Month</t>
  </si>
  <si>
    <t>residence</t>
  </si>
  <si>
    <t>Primary residence</t>
  </si>
  <si>
    <t>Secondary Residence</t>
  </si>
  <si>
    <t xml:space="preserve">Check </t>
  </si>
  <si>
    <t>Function</t>
  </si>
  <si>
    <t>Add'l home coverage (dad)</t>
  </si>
  <si>
    <t>Mortgage</t>
  </si>
  <si>
    <t>Expenses</t>
  </si>
  <si>
    <t>Expenses (NOT quarterly weighted)</t>
  </si>
  <si>
    <t>Annual IRA disp *q4)</t>
  </si>
  <si>
    <t>Income (Dec weighted)</t>
  </si>
  <si>
    <t>over/under</t>
  </si>
  <si>
    <t>y1,Q1</t>
  </si>
  <si>
    <t>y1,Q2</t>
  </si>
  <si>
    <t>y1,Q3</t>
  </si>
  <si>
    <t>y1,Q4</t>
  </si>
  <si>
    <t>y2,Q1</t>
  </si>
  <si>
    <t>y2,Q2</t>
  </si>
  <si>
    <t xml:space="preserve">dad at home w/companion ($300/DAY) 4 DAYS A WEEK </t>
  </si>
  <si>
    <t>y2,Q3</t>
  </si>
  <si>
    <t>y2,Q4</t>
  </si>
  <si>
    <t>Annual Totals</t>
  </si>
  <si>
    <t>Y3,Q1</t>
  </si>
  <si>
    <t>Y3,Q2</t>
  </si>
  <si>
    <t>Y3,Q3</t>
  </si>
  <si>
    <t>Y3,Q4</t>
  </si>
  <si>
    <t>Primary Residence</t>
  </si>
  <si>
    <t>Quarterly</t>
  </si>
  <si>
    <t>(Monthly)</t>
  </si>
  <si>
    <t>(Quarterly)</t>
  </si>
  <si>
    <t>Dad</t>
  </si>
  <si>
    <t>cash</t>
  </si>
  <si>
    <t>various equities</t>
  </si>
  <si>
    <t>Cash on Hand</t>
  </si>
  <si>
    <t>Facility costs chart</t>
  </si>
  <si>
    <t>Questions:</t>
  </si>
  <si>
    <t xml:space="preserve">incontinence </t>
  </si>
  <si>
    <t>Cash on hand*</t>
  </si>
  <si>
    <t>* Cash on Hand=</t>
  </si>
  <si>
    <t>checking accts-$20,000 emergency cash</t>
  </si>
  <si>
    <t>Net**</t>
  </si>
  <si>
    <t>** Net</t>
  </si>
  <si>
    <t>Primary residence exp estimate</t>
  </si>
  <si>
    <t>Secondary residence exp estimate</t>
  </si>
  <si>
    <t>Savings from scenario two</t>
  </si>
  <si>
    <t>Input</t>
  </si>
  <si>
    <t>Click to include</t>
  </si>
  <si>
    <t>logic test</t>
  </si>
  <si>
    <t>Remember not to duplicate room or care levels</t>
  </si>
  <si>
    <t>Dad in same facility</t>
  </si>
  <si>
    <t>Hold or Sell</t>
  </si>
  <si>
    <t>Residence</t>
  </si>
  <si>
    <t>Skewed by Q4 receipt of annual IRA Dist</t>
  </si>
  <si>
    <t>Calculations and zeroing</t>
  </si>
  <si>
    <t>Input fields</t>
  </si>
  <si>
    <t>All yellow codes fields are for input by the user</t>
  </si>
  <si>
    <t>Data for input is sourced from the facility product and price sheet</t>
  </si>
  <si>
    <t>Additional personal data is gathered by coordinating with parents or other sibling/helper involved with day-to day house finances</t>
  </si>
  <si>
    <t>The sheet is built to help with multiple senarios: 1 or two parents in facilities with differing assitance levels and one member moving into a facility while to other stays at home with a helper, or helpers</t>
  </si>
  <si>
    <t>30 day count</t>
  </si>
  <si>
    <t>Room security fee</t>
  </si>
  <si>
    <t>Move-in, or community fees along with security charges are noted and are included in the 1st quarter expense calculation. Other incidentials are not</t>
  </si>
  <si>
    <t>OUTPUT FIELDS</t>
  </si>
  <si>
    <t>Output fields are found in fields I49-R79</t>
  </si>
  <si>
    <t>Each new input automatically recalculates the output field.</t>
  </si>
  <si>
    <t>Output fields</t>
  </si>
  <si>
    <t>The output fields are designed to forecast asset depletion depending upon expense levels over quarterly periods which are adjustable as the situation changes</t>
  </si>
  <si>
    <t>Asset fields go to zero once those assets are depleted and spending moves to the next level of liquidity, ignoring a move from an asset sale into cash.</t>
  </si>
  <si>
    <t>This example lists 2 homes for expense calculations but the 2nd home is not included in as potential asset sale, but can be added if required</t>
  </si>
  <si>
    <t>IRA distribution is accounted for in Q4 only but can be amended manually via the cash flow tab</t>
  </si>
  <si>
    <t>Outside-sourced additional aides are not included in the input field as they are not normally part of the facility billing, but should be taken into consideration. Cells B/C 48 note the issue.</t>
  </si>
  <si>
    <t>Move in fee (Community fee)</t>
  </si>
  <si>
    <t>stock 1</t>
  </si>
  <si>
    <t>stock 3</t>
  </si>
  <si>
    <t>stock 2</t>
  </si>
  <si>
    <t>IRA</t>
  </si>
  <si>
    <t>Mom investments</t>
  </si>
  <si>
    <t>Bank 1 checking</t>
  </si>
  <si>
    <t>Bank 1savings</t>
  </si>
  <si>
    <t>Bank 2 checking</t>
  </si>
  <si>
    <t>Bank 2 Savings</t>
  </si>
  <si>
    <t>Bank 3 checking</t>
  </si>
  <si>
    <r>
      <t xml:space="preserve">normal rent (shared suite) </t>
    </r>
    <r>
      <rPr>
        <sz val="11"/>
        <color rgb="FFFF0000"/>
        <rFont val="Calibri"/>
        <family val="2"/>
        <scheme val="minor"/>
      </rPr>
      <t xml:space="preserve"> Shared Single</t>
    </r>
  </si>
  <si>
    <r>
      <t xml:space="preserve">Large Studio </t>
    </r>
    <r>
      <rPr>
        <sz val="11"/>
        <color rgb="FFFF0000"/>
        <rFont val="Calibri"/>
        <family val="2"/>
        <scheme val="minor"/>
      </rPr>
      <t xml:space="preserve"> Studio Single</t>
    </r>
  </si>
  <si>
    <t>Larger Studio Studio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</si>
</sst>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8" xfId="0" applyBorder="1"/>
    <xf numFmtId="44" fontId="0" fillId="0" borderId="4" xfId="0" applyNumberFormat="1" applyBorder="1"/>
    <xf numFmtId="44" fontId="0" fillId="0" borderId="7" xfId="0" applyNumberFormat="1" applyBorder="1"/>
    <xf numFmtId="4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0" fillId="0" borderId="16" xfId="0" applyBorder="1"/>
    <xf numFmtId="44" fontId="0" fillId="0" borderId="16" xfId="0" applyNumberFormat="1" applyBorder="1"/>
    <xf numFmtId="44" fontId="0" fillId="0" borderId="16" xfId="1" applyFont="1" applyBorder="1"/>
    <xf numFmtId="44" fontId="0" fillId="0" borderId="17" xfId="1" applyFont="1" applyBorder="1"/>
    <xf numFmtId="0" fontId="0" fillId="0" borderId="17" xfId="0" applyBorder="1"/>
    <xf numFmtId="44" fontId="0" fillId="0" borderId="18" xfId="1" applyFont="1" applyBorder="1"/>
    <xf numFmtId="0" fontId="4" fillId="0" borderId="0" xfId="0" applyFont="1"/>
    <xf numFmtId="44" fontId="4" fillId="0" borderId="0" xfId="1" applyFont="1"/>
    <xf numFmtId="0" fontId="5" fillId="0" borderId="14" xfId="0" applyFont="1" applyBorder="1"/>
    <xf numFmtId="0" fontId="2" fillId="0" borderId="0" xfId="0" applyFont="1"/>
    <xf numFmtId="44" fontId="0" fillId="0" borderId="19" xfId="1" applyFont="1" applyBorder="1"/>
    <xf numFmtId="0" fontId="2" fillId="0" borderId="11" xfId="0" applyFont="1" applyBorder="1"/>
    <xf numFmtId="44" fontId="0" fillId="0" borderId="4" xfId="1" applyFont="1" applyBorder="1"/>
    <xf numFmtId="0" fontId="2" fillId="0" borderId="3" xfId="0" applyFont="1" applyBorder="1"/>
    <xf numFmtId="44" fontId="2" fillId="0" borderId="9" xfId="0" applyNumberFormat="1" applyFont="1" applyBorder="1"/>
    <xf numFmtId="44" fontId="0" fillId="0" borderId="19" xfId="0" applyNumberFormat="1" applyBorder="1"/>
    <xf numFmtId="0" fontId="2" fillId="0" borderId="1" xfId="0" applyFont="1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0" fillId="0" borderId="20" xfId="0" applyBorder="1" applyAlignment="1">
      <alignment horizontal="center"/>
    </xf>
    <xf numFmtId="44" fontId="0" fillId="0" borderId="23" xfId="0" applyNumberFormat="1" applyBorder="1"/>
    <xf numFmtId="0" fontId="0" fillId="0" borderId="17" xfId="0" applyBorder="1" applyAlignment="1">
      <alignment horizontal="center"/>
    </xf>
    <xf numFmtId="44" fontId="0" fillId="0" borderId="24" xfId="1" applyFont="1" applyBorder="1"/>
    <xf numFmtId="44" fontId="0" fillId="0" borderId="22" xfId="0" applyNumberFormat="1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2" fillId="2" borderId="11" xfId="0" applyFont="1" applyFill="1" applyBorder="1"/>
    <xf numFmtId="44" fontId="2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1" applyFont="1" applyBorder="1"/>
    <xf numFmtId="44" fontId="0" fillId="0" borderId="6" xfId="0" applyNumberFormat="1" applyBorder="1"/>
    <xf numFmtId="44" fontId="2" fillId="0" borderId="21" xfId="0" applyNumberFormat="1" applyFont="1" applyBorder="1"/>
    <xf numFmtId="0" fontId="2" fillId="0" borderId="25" xfId="0" applyFont="1" applyBorder="1"/>
    <xf numFmtId="0" fontId="0" fillId="0" borderId="26" xfId="0" applyBorder="1"/>
    <xf numFmtId="0" fontId="0" fillId="0" borderId="27" xfId="0" applyBorder="1"/>
    <xf numFmtId="44" fontId="0" fillId="0" borderId="21" xfId="1" applyFont="1" applyBorder="1" applyAlignment="1">
      <alignment horizontal="center"/>
    </xf>
    <xf numFmtId="44" fontId="2" fillId="0" borderId="23" xfId="0" applyNumberFormat="1" applyFont="1" applyBorder="1"/>
    <xf numFmtId="44" fontId="2" fillId="0" borderId="7" xfId="0" applyNumberFormat="1" applyFont="1" applyBorder="1"/>
    <xf numFmtId="44" fontId="0" fillId="3" borderId="16" xfId="1" applyFont="1" applyFill="1" applyBorder="1"/>
    <xf numFmtId="44" fontId="0" fillId="3" borderId="0" xfId="1" applyFont="1" applyFill="1" applyBorder="1"/>
    <xf numFmtId="44" fontId="0" fillId="0" borderId="8" xfId="0" applyNumberFormat="1" applyBorder="1"/>
    <xf numFmtId="44" fontId="0" fillId="0" borderId="29" xfId="0" applyNumberFormat="1" applyBorder="1"/>
    <xf numFmtId="44" fontId="2" fillId="0" borderId="0" xfId="0" applyNumberFormat="1" applyFont="1"/>
    <xf numFmtId="44" fontId="0" fillId="0" borderId="7" xfId="1" applyFont="1" applyBorder="1"/>
    <xf numFmtId="44" fontId="0" fillId="0" borderId="30" xfId="1" applyFont="1" applyBorder="1"/>
    <xf numFmtId="44" fontId="0" fillId="0" borderId="23" xfId="1" applyFont="1" applyBorder="1"/>
    <xf numFmtId="44" fontId="0" fillId="0" borderId="31" xfId="0" applyNumberFormat="1" applyBorder="1"/>
    <xf numFmtId="44" fontId="0" fillId="0" borderId="32" xfId="0" applyNumberFormat="1" applyBorder="1"/>
    <xf numFmtId="44" fontId="0" fillId="0" borderId="31" xfId="1" applyFont="1" applyBorder="1"/>
    <xf numFmtId="44" fontId="0" fillId="0" borderId="32" xfId="1" applyFont="1" applyBorder="1"/>
    <xf numFmtId="44" fontId="0" fillId="4" borderId="16" xfId="0" applyNumberFormat="1" applyFill="1" applyBorder="1"/>
    <xf numFmtId="44" fontId="0" fillId="4" borderId="16" xfId="1" applyFont="1" applyFill="1" applyBorder="1"/>
    <xf numFmtId="44" fontId="5" fillId="4" borderId="16" xfId="1" applyFont="1" applyFill="1" applyBorder="1"/>
    <xf numFmtId="44" fontId="0" fillId="4" borderId="17" xfId="1" applyFont="1" applyFill="1" applyBorder="1"/>
    <xf numFmtId="44" fontId="2" fillId="4" borderId="0" xfId="1" applyFont="1" applyFill="1" applyBorder="1"/>
    <xf numFmtId="44" fontId="0" fillId="4" borderId="0" xfId="1" applyFont="1" applyFill="1"/>
    <xf numFmtId="44" fontId="0" fillId="4" borderId="0" xfId="1" applyFont="1" applyFill="1" applyBorder="1"/>
    <xf numFmtId="44" fontId="0" fillId="4" borderId="4" xfId="1" applyFont="1" applyFill="1" applyBorder="1"/>
    <xf numFmtId="44" fontId="0" fillId="4" borderId="9" xfId="1" applyFont="1" applyFill="1" applyBorder="1"/>
    <xf numFmtId="0" fontId="0" fillId="4" borderId="28" xfId="0" applyFill="1" applyBorder="1"/>
    <xf numFmtId="0" fontId="0" fillId="4" borderId="2" xfId="0" applyFill="1" applyBorder="1"/>
    <xf numFmtId="44" fontId="0" fillId="4" borderId="19" xfId="1" applyFont="1" applyFill="1" applyBorder="1"/>
    <xf numFmtId="0" fontId="0" fillId="4" borderId="4" xfId="0" applyFill="1" applyBorder="1"/>
    <xf numFmtId="44" fontId="0" fillId="4" borderId="20" xfId="1" applyFont="1" applyFill="1" applyBorder="1"/>
    <xf numFmtId="44" fontId="0" fillId="3" borderId="4" xfId="1" applyFont="1" applyFill="1" applyBorder="1"/>
    <xf numFmtId="9" fontId="0" fillId="0" borderId="0" xfId="2" applyFon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wrapText="1"/>
    </xf>
    <xf numFmtId="44" fontId="0" fillId="4" borderId="33" xfId="1" applyFont="1" applyFill="1" applyBorder="1"/>
    <xf numFmtId="44" fontId="0" fillId="3" borderId="16" xfId="1" applyFont="1" applyFill="1" applyBorder="1" applyAlignment="1"/>
    <xf numFmtId="44" fontId="0" fillId="3" borderId="32" xfId="1" applyFont="1" applyFill="1" applyBorder="1"/>
    <xf numFmtId="44" fontId="0" fillId="0" borderId="13" xfId="0" applyNumberFormat="1" applyBorder="1"/>
    <xf numFmtId="44" fontId="0" fillId="0" borderId="2" xfId="1" applyFont="1" applyBorder="1"/>
    <xf numFmtId="44" fontId="0" fillId="0" borderId="14" xfId="0" applyNumberFormat="1" applyBorder="1"/>
    <xf numFmtId="44" fontId="0" fillId="0" borderId="27" xfId="0" applyNumberFormat="1" applyBorder="1"/>
    <xf numFmtId="44" fontId="0" fillId="0" borderId="11" xfId="1" applyFont="1" applyBorder="1"/>
    <xf numFmtId="44" fontId="0" fillId="0" borderId="3" xfId="1" applyFont="1" applyBorder="1"/>
    <xf numFmtId="44" fontId="0" fillId="0" borderId="5" xfId="1" applyFont="1" applyBorder="1"/>
    <xf numFmtId="44" fontId="0" fillId="0" borderId="22" xfId="1" applyFont="1" applyBorder="1"/>
    <xf numFmtId="0" fontId="2" fillId="0" borderId="34" xfId="0" applyFont="1" applyBorder="1"/>
    <xf numFmtId="44" fontId="0" fillId="0" borderId="11" xfId="0" applyNumberFormat="1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28" xfId="1" applyFont="1" applyBorder="1"/>
    <xf numFmtId="0" fontId="0" fillId="4" borderId="0" xfId="0" applyFill="1"/>
    <xf numFmtId="0" fontId="7" fillId="5" borderId="0" xfId="0" applyFont="1" applyFill="1"/>
    <xf numFmtId="0" fontId="0" fillId="0" borderId="4" xfId="0" applyBorder="1" applyAlignment="1">
      <alignment horizontal="center"/>
    </xf>
    <xf numFmtId="44" fontId="2" fillId="3" borderId="4" xfId="0" applyNumberFormat="1" applyFont="1" applyFill="1" applyBorder="1"/>
    <xf numFmtId="44" fontId="0" fillId="3" borderId="7" xfId="1" applyFont="1" applyFill="1" applyBorder="1"/>
    <xf numFmtId="0" fontId="2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2" borderId="11" xfId="0" applyFont="1" applyFill="1" applyBorder="1"/>
    <xf numFmtId="0" fontId="2" fillId="2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E$23" lockText="1" noThreeD="1"/>
</file>

<file path=xl/ctrlProps/ctrlProp10.xml><?xml version="1.0" encoding="utf-8"?>
<formControlPr xmlns="http://schemas.microsoft.com/office/spreadsheetml/2009/9/main" objectType="CheckBox" fmlaLink="$E$37" lockText="1" noThreeD="1"/>
</file>

<file path=xl/ctrlProps/ctrlProp11.xml><?xml version="1.0" encoding="utf-8"?>
<formControlPr xmlns="http://schemas.microsoft.com/office/spreadsheetml/2009/9/main" objectType="CheckBox" fmlaLink="$E$38" lockText="1" noThreeD="1"/>
</file>

<file path=xl/ctrlProps/ctrlProp12.xml><?xml version="1.0" encoding="utf-8"?>
<formControlPr xmlns="http://schemas.microsoft.com/office/spreadsheetml/2009/9/main" objectType="CheckBox" fmlaLink="$E$39" lockText="1" noThreeD="1"/>
</file>

<file path=xl/ctrlProps/ctrlProp13.xml><?xml version="1.0" encoding="utf-8"?>
<formControlPr xmlns="http://schemas.microsoft.com/office/spreadsheetml/2009/9/main" objectType="CheckBox" checked="Checked" fmlaLink="$E$31" lockText="1" noThreeD="1"/>
</file>

<file path=xl/ctrlProps/ctrlProp14.xml><?xml version="1.0" encoding="utf-8"?>
<formControlPr xmlns="http://schemas.microsoft.com/office/spreadsheetml/2009/9/main" objectType="CheckBox" fmlaLink="$E$40" lockText="1" noThreeD="1"/>
</file>

<file path=xl/ctrlProps/ctrlProp15.xml><?xml version="1.0" encoding="utf-8"?>
<formControlPr xmlns="http://schemas.microsoft.com/office/spreadsheetml/2009/9/main" objectType="CheckBox" fmlaLink="$E$35" lockText="1" noThreeD="1"/>
</file>

<file path=xl/ctrlProps/ctrlProp16.xml><?xml version="1.0" encoding="utf-8"?>
<formControlPr xmlns="http://schemas.microsoft.com/office/spreadsheetml/2009/9/main" objectType="CheckBox" checked="Checked" fmlaLink="$E$32" lockText="1" noThreeD="1"/>
</file>

<file path=xl/ctrlProps/ctrlProp17.xml><?xml version="1.0" encoding="utf-8"?>
<formControlPr xmlns="http://schemas.microsoft.com/office/spreadsheetml/2009/9/main" objectType="CheckBox" fmlaLink="$E$40" lockText="1" noThreeD="1"/>
</file>

<file path=xl/ctrlProps/ctrlProp18.xml><?xml version="1.0" encoding="utf-8"?>
<formControlPr xmlns="http://schemas.microsoft.com/office/spreadsheetml/2009/9/main" objectType="CheckBox" fmlaLink="$E$41" lockText="1" noThreeD="1"/>
</file>

<file path=xl/ctrlProps/ctrlProp19.xml><?xml version="1.0" encoding="utf-8"?>
<formControlPr xmlns="http://schemas.microsoft.com/office/spreadsheetml/2009/9/main" objectType="CheckBox" fmlaLink="$E$24" lockText="1" noThreeD="1"/>
</file>

<file path=xl/ctrlProps/ctrlProp2.xml><?xml version="1.0" encoding="utf-8"?>
<formControlPr xmlns="http://schemas.microsoft.com/office/spreadsheetml/2009/9/main" objectType="CheckBox" fmlaLink="$E$25" lockText="1" noThreeD="1"/>
</file>

<file path=xl/ctrlProps/ctrlProp20.xml><?xml version="1.0" encoding="utf-8"?>
<formControlPr xmlns="http://schemas.microsoft.com/office/spreadsheetml/2009/9/main" objectType="CheckBox" fmlaLink="$E$26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5.xml><?xml version="1.0" encoding="utf-8"?>
<formControlPr xmlns="http://schemas.microsoft.com/office/spreadsheetml/2009/9/main" objectType="CheckBox" fmlaLink="$E$29" lockText="1" noThreeD="1"/>
</file>

<file path=xl/ctrlProps/ctrlProp6.xml><?xml version="1.0" encoding="utf-8"?>
<formControlPr xmlns="http://schemas.microsoft.com/office/spreadsheetml/2009/9/main" objectType="CheckBox" checked="Checked" fmlaLink="$E$30" lockText="1" noThreeD="1"/>
</file>

<file path=xl/ctrlProps/ctrlProp7.xml><?xml version="1.0" encoding="utf-8"?>
<formControlPr xmlns="http://schemas.microsoft.com/office/spreadsheetml/2009/9/main" objectType="CheckBox" fmlaLink="$E$22" lockText="1" noThreeD="1"/>
</file>

<file path=xl/ctrlProps/ctrlProp8.xml><?xml version="1.0" encoding="utf-8"?>
<formControlPr xmlns="http://schemas.microsoft.com/office/spreadsheetml/2009/9/main" objectType="CheckBox" fmlaLink="$E$34" lockText="1" noThreeD="1"/>
</file>

<file path=xl/ctrlProps/ctrlProp9.xml><?xml version="1.0" encoding="utf-8"?>
<formControlPr xmlns="http://schemas.microsoft.com/office/spreadsheetml/2009/9/main" objectType="CheckBox" fmlaLink="$E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175260</xdr:rowOff>
        </xdr:from>
        <xdr:to>
          <xdr:col>3</xdr:col>
          <xdr:colOff>807720</xdr:colOff>
          <xdr:row>23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167640</xdr:rowOff>
        </xdr:from>
        <xdr:to>
          <xdr:col>3</xdr:col>
          <xdr:colOff>822960</xdr:colOff>
          <xdr:row>25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175260</xdr:rowOff>
        </xdr:from>
        <xdr:to>
          <xdr:col>3</xdr:col>
          <xdr:colOff>822960</xdr:colOff>
          <xdr:row>27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26</xdr:row>
          <xdr:rowOff>175260</xdr:rowOff>
        </xdr:from>
        <xdr:to>
          <xdr:col>3</xdr:col>
          <xdr:colOff>830580</xdr:colOff>
          <xdr:row>28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28</xdr:row>
          <xdr:rowOff>22860</xdr:rowOff>
        </xdr:from>
        <xdr:to>
          <xdr:col>3</xdr:col>
          <xdr:colOff>830580</xdr:colOff>
          <xdr:row>29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29</xdr:row>
          <xdr:rowOff>22860</xdr:rowOff>
        </xdr:from>
        <xdr:to>
          <xdr:col>3</xdr:col>
          <xdr:colOff>830580</xdr:colOff>
          <xdr:row>30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807720</xdr:colOff>
          <xdr:row>22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167640</xdr:rowOff>
        </xdr:from>
        <xdr:to>
          <xdr:col>3</xdr:col>
          <xdr:colOff>822960</xdr:colOff>
          <xdr:row>33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34</xdr:row>
          <xdr:rowOff>175260</xdr:rowOff>
        </xdr:from>
        <xdr:to>
          <xdr:col>3</xdr:col>
          <xdr:colOff>822960</xdr:colOff>
          <xdr:row>36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35</xdr:row>
          <xdr:rowOff>175260</xdr:rowOff>
        </xdr:from>
        <xdr:to>
          <xdr:col>3</xdr:col>
          <xdr:colOff>822960</xdr:colOff>
          <xdr:row>37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37</xdr:row>
          <xdr:rowOff>22860</xdr:rowOff>
        </xdr:from>
        <xdr:to>
          <xdr:col>3</xdr:col>
          <xdr:colOff>822960</xdr:colOff>
          <xdr:row>38</xdr:row>
          <xdr:rowOff>60960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38</xdr:row>
          <xdr:rowOff>22860</xdr:rowOff>
        </xdr:from>
        <xdr:to>
          <xdr:col>3</xdr:col>
          <xdr:colOff>822960</xdr:colOff>
          <xdr:row>39</xdr:row>
          <xdr:rowOff>60960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30</xdr:row>
          <xdr:rowOff>22860</xdr:rowOff>
        </xdr:from>
        <xdr:to>
          <xdr:col>3</xdr:col>
          <xdr:colOff>830580</xdr:colOff>
          <xdr:row>31</xdr:row>
          <xdr:rowOff>45720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39</xdr:row>
          <xdr:rowOff>22860</xdr:rowOff>
        </xdr:from>
        <xdr:to>
          <xdr:col>3</xdr:col>
          <xdr:colOff>830580</xdr:colOff>
          <xdr:row>40</xdr:row>
          <xdr:rowOff>45720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175260</xdr:rowOff>
        </xdr:from>
        <xdr:to>
          <xdr:col>3</xdr:col>
          <xdr:colOff>807720</xdr:colOff>
          <xdr:row>35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30</xdr:row>
          <xdr:rowOff>175260</xdr:rowOff>
        </xdr:from>
        <xdr:to>
          <xdr:col>3</xdr:col>
          <xdr:colOff>822960</xdr:colOff>
          <xdr:row>32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39</xdr:row>
          <xdr:rowOff>22860</xdr:rowOff>
        </xdr:from>
        <xdr:to>
          <xdr:col>3</xdr:col>
          <xdr:colOff>822960</xdr:colOff>
          <xdr:row>40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39</xdr:row>
          <xdr:rowOff>175260</xdr:rowOff>
        </xdr:from>
        <xdr:to>
          <xdr:col>3</xdr:col>
          <xdr:colOff>822960</xdr:colOff>
          <xdr:row>41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22</xdr:row>
          <xdr:rowOff>160020</xdr:rowOff>
        </xdr:from>
        <xdr:to>
          <xdr:col>3</xdr:col>
          <xdr:colOff>800100</xdr:colOff>
          <xdr:row>24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24</xdr:row>
          <xdr:rowOff>175260</xdr:rowOff>
        </xdr:from>
        <xdr:to>
          <xdr:col>3</xdr:col>
          <xdr:colOff>822960</xdr:colOff>
          <xdr:row>26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click for 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A4A3-9134-4829-AC09-F00140E685AE}">
  <dimension ref="A1:AC117"/>
  <sheetViews>
    <sheetView tabSelected="1" zoomScale="97" zoomScaleNormal="97" workbookViewId="0">
      <selection activeCell="B25" sqref="B25"/>
    </sheetView>
  </sheetViews>
  <sheetFormatPr defaultColWidth="16.77734375" defaultRowHeight="14.4" x14ac:dyDescent="0.3"/>
  <cols>
    <col min="2" max="2" width="48" bestFit="1" customWidth="1"/>
    <col min="7" max="7" width="14.77734375" customWidth="1"/>
    <col min="8" max="8" width="14.6640625" bestFit="1" customWidth="1"/>
    <col min="13" max="13" width="12.88671875" bestFit="1" customWidth="1"/>
    <col min="24" max="26" width="16.77734375" style="1"/>
  </cols>
  <sheetData>
    <row r="1" spans="1:26" x14ac:dyDescent="0.3">
      <c r="A1" s="110"/>
      <c r="B1" s="31" t="s">
        <v>103</v>
      </c>
    </row>
    <row r="2" spans="1:26" x14ac:dyDescent="0.3">
      <c r="B2" t="s">
        <v>104</v>
      </c>
    </row>
    <row r="3" spans="1:26" x14ac:dyDescent="0.3">
      <c r="B3" t="s">
        <v>105</v>
      </c>
    </row>
    <row r="4" spans="1:26" x14ac:dyDescent="0.3">
      <c r="B4" t="s">
        <v>106</v>
      </c>
      <c r="S4" s="1"/>
      <c r="T4" s="1"/>
      <c r="U4" s="1"/>
      <c r="X4"/>
      <c r="Y4"/>
      <c r="Z4"/>
    </row>
    <row r="5" spans="1:26" x14ac:dyDescent="0.3">
      <c r="B5" t="s">
        <v>107</v>
      </c>
      <c r="S5" s="1"/>
      <c r="T5" s="1"/>
      <c r="U5" s="1"/>
      <c r="X5"/>
      <c r="Y5"/>
      <c r="Z5"/>
    </row>
    <row r="6" spans="1:26" x14ac:dyDescent="0.3">
      <c r="B6" t="s">
        <v>110</v>
      </c>
      <c r="S6" s="1"/>
      <c r="T6" s="1"/>
      <c r="U6" s="1"/>
      <c r="X6"/>
      <c r="Y6"/>
      <c r="Z6"/>
    </row>
    <row r="7" spans="1:26" x14ac:dyDescent="0.3">
      <c r="B7" t="s">
        <v>118</v>
      </c>
      <c r="S7" s="1"/>
      <c r="T7" s="1"/>
      <c r="U7" s="1"/>
      <c r="X7"/>
      <c r="Y7"/>
      <c r="Z7"/>
    </row>
    <row r="8" spans="1:26" x14ac:dyDescent="0.3">
      <c r="B8" t="s">
        <v>119</v>
      </c>
      <c r="S8" s="1"/>
      <c r="T8" s="1"/>
      <c r="U8" s="1"/>
      <c r="X8"/>
      <c r="Y8"/>
      <c r="Z8"/>
    </row>
    <row r="9" spans="1:26" x14ac:dyDescent="0.3">
      <c r="B9" s="31" t="s">
        <v>97</v>
      </c>
      <c r="S9" s="1"/>
      <c r="T9" s="1"/>
      <c r="U9" s="1"/>
      <c r="X9"/>
      <c r="Y9"/>
      <c r="Z9"/>
    </row>
    <row r="10" spans="1:26" ht="15.6" x14ac:dyDescent="0.3">
      <c r="A10" s="111"/>
      <c r="B10" s="31" t="s">
        <v>114</v>
      </c>
      <c r="S10" s="1"/>
      <c r="T10" s="1"/>
      <c r="U10" s="1"/>
      <c r="X10"/>
      <c r="Y10"/>
      <c r="Z10"/>
    </row>
    <row r="11" spans="1:26" x14ac:dyDescent="0.3">
      <c r="B11" t="s">
        <v>112</v>
      </c>
      <c r="S11" s="1"/>
      <c r="T11" s="1"/>
      <c r="U11" s="1"/>
      <c r="X11"/>
      <c r="Y11"/>
      <c r="Z11"/>
    </row>
    <row r="12" spans="1:26" x14ac:dyDescent="0.3">
      <c r="B12" t="s">
        <v>113</v>
      </c>
      <c r="S12" s="1"/>
      <c r="T12" s="1"/>
      <c r="U12" s="1"/>
      <c r="X12"/>
      <c r="Y12"/>
      <c r="Z12"/>
    </row>
    <row r="13" spans="1:26" x14ac:dyDescent="0.3">
      <c r="B13" t="s">
        <v>115</v>
      </c>
      <c r="S13" s="1"/>
      <c r="T13" s="1"/>
      <c r="U13" s="1"/>
      <c r="X13"/>
      <c r="Y13"/>
      <c r="Z13"/>
    </row>
    <row r="14" spans="1:26" x14ac:dyDescent="0.3">
      <c r="B14" t="s">
        <v>116</v>
      </c>
      <c r="S14" s="1"/>
      <c r="T14" s="1"/>
      <c r="U14" s="1"/>
      <c r="X14"/>
      <c r="Y14"/>
      <c r="Z14"/>
    </row>
    <row r="15" spans="1:26" x14ac:dyDescent="0.3">
      <c r="B15" t="s">
        <v>117</v>
      </c>
      <c r="S15" s="1"/>
      <c r="T15" s="1"/>
      <c r="U15" s="1"/>
      <c r="X15"/>
      <c r="Y15"/>
      <c r="Z15"/>
    </row>
    <row r="16" spans="1:26" x14ac:dyDescent="0.3">
      <c r="S16" s="1"/>
      <c r="T16" s="1"/>
      <c r="U16" s="1"/>
      <c r="X16"/>
      <c r="Y16"/>
      <c r="Z16"/>
    </row>
    <row r="17" spans="1:26" ht="15" thickBot="1" x14ac:dyDescent="0.35">
      <c r="B17" s="31"/>
      <c r="S17" s="1"/>
      <c r="T17" s="1"/>
      <c r="U17" s="1"/>
      <c r="X17"/>
      <c r="Y17"/>
      <c r="Z17"/>
    </row>
    <row r="18" spans="1:26" x14ac:dyDescent="0.3">
      <c r="B18" s="16"/>
      <c r="C18" s="3"/>
      <c r="D18" s="3"/>
      <c r="E18" s="3"/>
      <c r="F18" s="3"/>
      <c r="G18" s="4"/>
      <c r="O18" s="1"/>
      <c r="P18" s="1"/>
      <c r="Q18" s="1"/>
      <c r="X18"/>
      <c r="Y18"/>
      <c r="Z18"/>
    </row>
    <row r="19" spans="1:26" ht="15" thickBot="1" x14ac:dyDescent="0.35">
      <c r="B19" s="7" t="s">
        <v>83</v>
      </c>
      <c r="G19" s="6"/>
      <c r="K19" s="1"/>
      <c r="L19" s="1"/>
      <c r="M19" s="1"/>
      <c r="X19"/>
      <c r="Y19"/>
      <c r="Z19"/>
    </row>
    <row r="20" spans="1:26" x14ac:dyDescent="0.3">
      <c r="B20" s="18"/>
      <c r="C20" s="15"/>
      <c r="D20" s="10"/>
      <c r="E20" s="10"/>
      <c r="F20" s="10"/>
      <c r="G20" s="14"/>
      <c r="K20" s="1"/>
      <c r="L20" s="1"/>
      <c r="M20" s="1"/>
      <c r="X20"/>
      <c r="Y20"/>
      <c r="Z20"/>
    </row>
    <row r="21" spans="1:26" x14ac:dyDescent="0.3">
      <c r="B21" s="21" t="s">
        <v>12</v>
      </c>
      <c r="C21" s="90" t="s">
        <v>94</v>
      </c>
      <c r="D21" s="90" t="s">
        <v>95</v>
      </c>
      <c r="E21" s="90" t="s">
        <v>96</v>
      </c>
      <c r="F21" s="91" t="s">
        <v>1</v>
      </c>
      <c r="G21" s="39" t="s">
        <v>0</v>
      </c>
      <c r="K21" s="1"/>
      <c r="L21" s="1"/>
      <c r="M21" s="1"/>
      <c r="X21"/>
      <c r="Y21"/>
      <c r="Z21"/>
    </row>
    <row r="22" spans="1:26" x14ac:dyDescent="0.3">
      <c r="B22" s="19" t="s">
        <v>131</v>
      </c>
      <c r="C22" s="74">
        <v>160</v>
      </c>
      <c r="D22" s="22"/>
      <c r="E22" s="22" t="b">
        <v>0</v>
      </c>
      <c r="F22" s="27">
        <f t="shared" ref="F22:F30" si="0">IF(E22,C22,0)</f>
        <v>0</v>
      </c>
      <c r="G22" s="11">
        <f>F22*30</f>
        <v>0</v>
      </c>
      <c r="H22" s="2"/>
      <c r="K22" s="1"/>
      <c r="L22" s="1"/>
      <c r="M22" s="1"/>
      <c r="X22"/>
      <c r="Y22"/>
      <c r="Z22"/>
    </row>
    <row r="23" spans="1:26" x14ac:dyDescent="0.3">
      <c r="B23" s="19" t="s">
        <v>132</v>
      </c>
      <c r="C23" s="75">
        <v>195</v>
      </c>
      <c r="D23" s="22"/>
      <c r="E23" s="22" t="b">
        <v>1</v>
      </c>
      <c r="F23" s="24">
        <f t="shared" si="0"/>
        <v>195</v>
      </c>
      <c r="G23" s="11">
        <f t="shared" ref="G23:G26" si="1">F23*30</f>
        <v>5850</v>
      </c>
      <c r="H23" s="2"/>
      <c r="K23" s="1"/>
      <c r="L23" s="1"/>
      <c r="M23" s="1"/>
      <c r="X23"/>
      <c r="Y23"/>
      <c r="Z23"/>
    </row>
    <row r="24" spans="1:26" x14ac:dyDescent="0.3">
      <c r="B24" s="30" t="s">
        <v>133</v>
      </c>
      <c r="C24" s="75">
        <v>270</v>
      </c>
      <c r="D24" s="22"/>
      <c r="E24" s="22" t="b">
        <v>0</v>
      </c>
      <c r="F24" s="24">
        <f t="shared" ref="F24" si="2">IF(E24,C24,0)</f>
        <v>0</v>
      </c>
      <c r="G24" s="11">
        <f t="shared" ref="G24" si="3">F24*30</f>
        <v>0</v>
      </c>
      <c r="H24" s="2"/>
      <c r="I24" s="2"/>
      <c r="J24" s="2"/>
      <c r="K24" s="1"/>
      <c r="L24" s="1"/>
      <c r="M24" s="1"/>
      <c r="X24"/>
      <c r="Y24"/>
      <c r="Z24"/>
    </row>
    <row r="25" spans="1:26" x14ac:dyDescent="0.3">
      <c r="B25" s="30" t="s">
        <v>20</v>
      </c>
      <c r="C25" s="75">
        <v>250</v>
      </c>
      <c r="D25" s="22"/>
      <c r="E25" s="22" t="b">
        <v>0</v>
      </c>
      <c r="F25" s="24">
        <f t="shared" ref="F25" si="4">IF(E25,C25,0)</f>
        <v>0</v>
      </c>
      <c r="G25" s="11">
        <f t="shared" ref="G25" si="5">F25*30</f>
        <v>0</v>
      </c>
      <c r="H25" s="2"/>
      <c r="I25" s="2"/>
      <c r="J25" s="2"/>
      <c r="K25" s="1"/>
      <c r="L25" s="1"/>
      <c r="M25" s="1"/>
      <c r="X25"/>
      <c r="Y25"/>
      <c r="Z25"/>
    </row>
    <row r="26" spans="1:26" x14ac:dyDescent="0.3">
      <c r="B26" s="30" t="s">
        <v>21</v>
      </c>
      <c r="C26" s="75">
        <v>290</v>
      </c>
      <c r="D26" s="22"/>
      <c r="E26" s="22" t="b">
        <v>0</v>
      </c>
      <c r="F26" s="24">
        <f t="shared" si="0"/>
        <v>0</v>
      </c>
      <c r="G26" s="11">
        <f t="shared" si="1"/>
        <v>0</v>
      </c>
      <c r="H26" s="2"/>
      <c r="I26" s="2"/>
      <c r="J26" s="2"/>
      <c r="K26" s="1"/>
      <c r="L26" s="1"/>
      <c r="M26" s="1"/>
      <c r="X26"/>
      <c r="Y26"/>
      <c r="Z26"/>
    </row>
    <row r="27" spans="1:26" x14ac:dyDescent="0.3">
      <c r="B27" s="19" t="s">
        <v>2</v>
      </c>
      <c r="C27" s="76">
        <v>50</v>
      </c>
      <c r="D27" s="22"/>
      <c r="E27" s="22" t="b">
        <v>0</v>
      </c>
      <c r="F27" s="24">
        <f t="shared" si="0"/>
        <v>0</v>
      </c>
      <c r="G27" s="11">
        <f t="shared" ref="G27" si="6">F27*30</f>
        <v>0</v>
      </c>
      <c r="H27" s="2"/>
      <c r="I27" s="2"/>
      <c r="J27" s="2"/>
      <c r="K27" s="1"/>
      <c r="L27" s="1"/>
      <c r="M27" s="1"/>
      <c r="X27"/>
      <c r="Y27"/>
      <c r="Z27"/>
    </row>
    <row r="28" spans="1:26" x14ac:dyDescent="0.3">
      <c r="B28" s="19" t="s">
        <v>7</v>
      </c>
      <c r="C28" s="75">
        <v>83</v>
      </c>
      <c r="D28" s="22"/>
      <c r="E28" s="22" t="b">
        <v>0</v>
      </c>
      <c r="F28" s="24">
        <f t="shared" si="0"/>
        <v>0</v>
      </c>
      <c r="G28" s="11">
        <f t="shared" ref="G28" si="7">F28*30</f>
        <v>0</v>
      </c>
      <c r="H28" s="2"/>
      <c r="I28" s="2"/>
      <c r="J28" s="2"/>
      <c r="K28" s="1"/>
      <c r="L28" s="1"/>
      <c r="M28" s="1"/>
      <c r="X28"/>
      <c r="Y28"/>
      <c r="Z28"/>
    </row>
    <row r="29" spans="1:26" x14ac:dyDescent="0.3">
      <c r="B29" s="19" t="s">
        <v>8</v>
      </c>
      <c r="C29" s="75">
        <v>116</v>
      </c>
      <c r="D29" s="22"/>
      <c r="E29" s="22" t="b">
        <v>0</v>
      </c>
      <c r="F29" s="24">
        <f t="shared" si="0"/>
        <v>0</v>
      </c>
      <c r="G29" s="11">
        <f t="shared" ref="G29:G30" si="8">F29*30</f>
        <v>0</v>
      </c>
      <c r="H29" s="2"/>
      <c r="I29" s="2"/>
      <c r="J29" s="2"/>
      <c r="K29" s="1"/>
      <c r="L29" s="1"/>
      <c r="M29" s="1"/>
      <c r="X29"/>
      <c r="Y29"/>
      <c r="Z29"/>
    </row>
    <row r="30" spans="1:26" x14ac:dyDescent="0.3">
      <c r="A30" t="s">
        <v>5</v>
      </c>
      <c r="B30" s="19" t="s">
        <v>9</v>
      </c>
      <c r="C30" s="75">
        <v>160</v>
      </c>
      <c r="D30" s="22"/>
      <c r="E30" s="22" t="b">
        <v>1</v>
      </c>
      <c r="F30" s="24">
        <f t="shared" si="0"/>
        <v>160</v>
      </c>
      <c r="G30" s="11">
        <f t="shared" si="8"/>
        <v>4800</v>
      </c>
      <c r="H30" s="2"/>
      <c r="I30" s="2"/>
      <c r="J30" s="2"/>
      <c r="K30" s="1"/>
      <c r="X30"/>
      <c r="Y30"/>
      <c r="Z30"/>
    </row>
    <row r="31" spans="1:26" x14ac:dyDescent="0.3">
      <c r="B31" s="5" t="s">
        <v>10</v>
      </c>
      <c r="C31" s="76">
        <v>35</v>
      </c>
      <c r="E31" s="24" t="b">
        <v>1</v>
      </c>
      <c r="F31" s="24">
        <f t="shared" ref="F31" si="9">IF(E31,C31,0)</f>
        <v>35</v>
      </c>
      <c r="G31" s="11">
        <f t="shared" ref="G31" si="10">F31*30</f>
        <v>1050</v>
      </c>
      <c r="H31" s="2"/>
      <c r="I31" s="2"/>
      <c r="J31" s="2"/>
      <c r="K31" s="1"/>
      <c r="X31"/>
      <c r="Y31"/>
      <c r="Z31"/>
    </row>
    <row r="32" spans="1:26" x14ac:dyDescent="0.3">
      <c r="B32" s="20" t="s">
        <v>3</v>
      </c>
      <c r="C32" s="77">
        <v>1.667</v>
      </c>
      <c r="D32" s="26"/>
      <c r="E32" s="26" t="b">
        <v>1</v>
      </c>
      <c r="F32" s="25">
        <f t="shared" ref="F32" si="11">IF(E32,C32,0)</f>
        <v>1.667</v>
      </c>
      <c r="G32" s="13">
        <f t="shared" ref="G32:G34" si="12">F32*30</f>
        <v>50.01</v>
      </c>
      <c r="H32" s="2"/>
      <c r="I32" s="2"/>
      <c r="J32" s="2"/>
      <c r="K32" s="1"/>
      <c r="L32" s="1"/>
      <c r="M32" s="1"/>
      <c r="X32"/>
      <c r="Y32"/>
      <c r="Z32"/>
    </row>
    <row r="33" spans="1:26" x14ac:dyDescent="0.3">
      <c r="B33" s="21" t="s">
        <v>98</v>
      </c>
      <c r="C33" s="75"/>
      <c r="D33" s="22"/>
      <c r="E33" s="22"/>
      <c r="F33" s="24"/>
      <c r="G33" s="11"/>
      <c r="H33" s="2"/>
      <c r="I33" s="2"/>
      <c r="J33" s="2"/>
      <c r="K33" s="1"/>
      <c r="L33" s="1"/>
      <c r="M33" s="1"/>
      <c r="X33"/>
      <c r="Y33"/>
      <c r="Z33"/>
    </row>
    <row r="34" spans="1:26" x14ac:dyDescent="0.3">
      <c r="B34" s="19" t="s">
        <v>11</v>
      </c>
      <c r="C34" s="76">
        <v>165</v>
      </c>
      <c r="D34" s="22"/>
      <c r="E34" s="22" t="b">
        <v>0</v>
      </c>
      <c r="F34" s="24">
        <f>IF(E34,C34,0)</f>
        <v>0</v>
      </c>
      <c r="G34" s="11">
        <f t="shared" si="12"/>
        <v>0</v>
      </c>
      <c r="H34" s="2"/>
      <c r="I34" s="2"/>
      <c r="J34" s="2"/>
      <c r="K34" s="1"/>
      <c r="L34" s="1"/>
      <c r="M34" s="1"/>
      <c r="X34"/>
      <c r="Y34"/>
      <c r="Z34"/>
    </row>
    <row r="35" spans="1:26" x14ac:dyDescent="0.3">
      <c r="B35" s="19" t="s">
        <v>18</v>
      </c>
      <c r="C35" s="76">
        <v>195</v>
      </c>
      <c r="D35" s="22"/>
      <c r="E35" s="22" t="b">
        <v>0</v>
      </c>
      <c r="F35" s="24">
        <f>IF(E35,C35,0)</f>
        <v>0</v>
      </c>
      <c r="G35" s="11">
        <f t="shared" ref="G35" si="13">F35*30</f>
        <v>0</v>
      </c>
      <c r="H35" s="2"/>
      <c r="I35" s="2"/>
      <c r="J35" s="2"/>
      <c r="K35" s="1"/>
      <c r="L35" s="1"/>
      <c r="M35" s="1"/>
      <c r="X35"/>
      <c r="Y35"/>
      <c r="Z35"/>
    </row>
    <row r="36" spans="1:26" x14ac:dyDescent="0.3">
      <c r="B36" s="19" t="s">
        <v>2</v>
      </c>
      <c r="C36" s="76">
        <v>50</v>
      </c>
      <c r="D36" s="22"/>
      <c r="E36" s="22" t="b">
        <v>0</v>
      </c>
      <c r="F36" s="24">
        <f t="shared" ref="F36:F39" si="14">IF(E36,C36,0)</f>
        <v>0</v>
      </c>
      <c r="G36" s="11">
        <f t="shared" ref="G36:G39" si="15">F36*30</f>
        <v>0</v>
      </c>
      <c r="H36" s="2"/>
      <c r="I36" s="2"/>
      <c r="J36" s="2"/>
      <c r="K36" s="1"/>
      <c r="L36" s="1"/>
      <c r="M36" s="1"/>
      <c r="X36"/>
      <c r="Y36"/>
      <c r="Z36"/>
    </row>
    <row r="37" spans="1:26" x14ac:dyDescent="0.3">
      <c r="B37" s="19" t="s">
        <v>7</v>
      </c>
      <c r="C37" s="75">
        <v>83</v>
      </c>
      <c r="D37" s="22"/>
      <c r="E37" s="22" t="b">
        <v>0</v>
      </c>
      <c r="F37" s="24">
        <f t="shared" si="14"/>
        <v>0</v>
      </c>
      <c r="G37" s="11">
        <f t="shared" si="15"/>
        <v>0</v>
      </c>
      <c r="H37" s="2"/>
      <c r="I37" s="2"/>
      <c r="J37" s="2"/>
      <c r="K37" s="1"/>
      <c r="L37" s="1"/>
      <c r="M37" s="1"/>
      <c r="X37"/>
      <c r="Y37"/>
      <c r="Z37"/>
    </row>
    <row r="38" spans="1:26" x14ac:dyDescent="0.3">
      <c r="B38" s="19" t="s">
        <v>8</v>
      </c>
      <c r="C38" s="75">
        <v>116</v>
      </c>
      <c r="D38" s="22"/>
      <c r="E38" s="22" t="b">
        <v>0</v>
      </c>
      <c r="F38" s="24">
        <f t="shared" si="14"/>
        <v>0</v>
      </c>
      <c r="G38" s="11">
        <f t="shared" si="15"/>
        <v>0</v>
      </c>
      <c r="H38" s="2"/>
      <c r="I38" s="2"/>
      <c r="J38" s="2"/>
      <c r="K38" s="1"/>
      <c r="L38" s="1"/>
      <c r="M38" s="1"/>
      <c r="X38"/>
      <c r="Y38"/>
      <c r="Z38"/>
    </row>
    <row r="39" spans="1:26" x14ac:dyDescent="0.3">
      <c r="B39" s="19" t="s">
        <v>9</v>
      </c>
      <c r="C39" s="75">
        <v>149</v>
      </c>
      <c r="D39" s="22"/>
      <c r="E39" s="22" t="b">
        <v>0</v>
      </c>
      <c r="F39" s="24">
        <f t="shared" si="14"/>
        <v>0</v>
      </c>
      <c r="G39" s="11">
        <f t="shared" si="15"/>
        <v>0</v>
      </c>
      <c r="H39" s="2"/>
      <c r="I39" s="2"/>
      <c r="J39" s="2"/>
      <c r="K39" s="1"/>
      <c r="L39" s="1"/>
      <c r="M39" s="1"/>
      <c r="X39"/>
      <c r="Y39"/>
      <c r="Z39"/>
    </row>
    <row r="40" spans="1:26" x14ac:dyDescent="0.3">
      <c r="B40" s="19" t="s">
        <v>10</v>
      </c>
      <c r="C40" s="76">
        <v>30</v>
      </c>
      <c r="D40" s="22"/>
      <c r="E40" s="22" t="b">
        <v>0</v>
      </c>
      <c r="F40" s="24">
        <f t="shared" ref="F40" si="16">IF(E40,C40,0)</f>
        <v>0</v>
      </c>
      <c r="G40" s="11">
        <f t="shared" ref="G40" si="17">F40*30</f>
        <v>0</v>
      </c>
      <c r="H40" s="2"/>
      <c r="I40" s="2"/>
      <c r="J40" s="2"/>
      <c r="K40" s="1"/>
      <c r="L40" s="1"/>
      <c r="M40" s="1"/>
      <c r="X40"/>
      <c r="Y40"/>
      <c r="Z40"/>
    </row>
    <row r="41" spans="1:26" x14ac:dyDescent="0.3">
      <c r="B41" s="17" t="s">
        <v>3</v>
      </c>
      <c r="C41" s="77">
        <v>1.667</v>
      </c>
      <c r="D41" s="26"/>
      <c r="E41" s="26" t="b">
        <v>0</v>
      </c>
      <c r="F41" s="25">
        <f t="shared" ref="F41" si="18">IF(E41,C41,0)</f>
        <v>0</v>
      </c>
      <c r="G41" s="13">
        <f t="shared" ref="G41" si="19">F41*30</f>
        <v>0</v>
      </c>
      <c r="H41" s="2"/>
      <c r="I41" s="2"/>
      <c r="J41" s="2"/>
      <c r="K41" s="1"/>
      <c r="L41" s="1"/>
      <c r="M41" s="1"/>
      <c r="X41"/>
      <c r="Y41"/>
      <c r="Z41"/>
    </row>
    <row r="42" spans="1:26" ht="15" thickBot="1" x14ac:dyDescent="0.35">
      <c r="B42" s="7"/>
      <c r="C42" s="8"/>
      <c r="D42" s="8"/>
      <c r="E42" s="8"/>
      <c r="F42" s="9">
        <f>SUM(F22:F41)</f>
        <v>391.66699999999997</v>
      </c>
      <c r="G42" s="12">
        <f>SUM(G22:G41)</f>
        <v>11750.01</v>
      </c>
      <c r="H42" s="2"/>
      <c r="I42" s="2"/>
      <c r="J42" s="2"/>
      <c r="K42" s="1"/>
      <c r="L42" s="1"/>
      <c r="M42" s="1"/>
      <c r="X42"/>
      <c r="Y42"/>
      <c r="Z42"/>
    </row>
    <row r="43" spans="1:26" x14ac:dyDescent="0.3">
      <c r="F43" s="53"/>
      <c r="G43" s="2"/>
      <c r="H43" s="2"/>
      <c r="I43" s="2"/>
      <c r="J43" s="2"/>
      <c r="K43" s="1"/>
      <c r="L43" s="1"/>
      <c r="M43" s="1"/>
      <c r="X43"/>
      <c r="Y43"/>
      <c r="Z43"/>
    </row>
    <row r="44" spans="1:26" x14ac:dyDescent="0.3">
      <c r="B44" s="31" t="s">
        <v>108</v>
      </c>
      <c r="F44" s="53"/>
      <c r="G44" s="2"/>
      <c r="H44" s="2"/>
      <c r="I44" s="2"/>
      <c r="J44" s="2"/>
      <c r="K44" s="1"/>
      <c r="L44" s="1"/>
      <c r="M44" s="1"/>
      <c r="X44"/>
      <c r="Y44"/>
      <c r="Z44"/>
    </row>
    <row r="45" spans="1:26" x14ac:dyDescent="0.3">
      <c r="B45" t="s">
        <v>109</v>
      </c>
      <c r="F45" s="78">
        <f>(G22+G23+G24+G25+G26)*3</f>
        <v>17550</v>
      </c>
      <c r="G45" s="2">
        <f>G42</f>
        <v>11750.01</v>
      </c>
      <c r="H45" s="2"/>
      <c r="I45" s="2"/>
      <c r="J45" s="2"/>
      <c r="K45" s="1"/>
      <c r="L45" s="1"/>
      <c r="M45" s="1"/>
      <c r="X45"/>
      <c r="Y45"/>
      <c r="Z45"/>
    </row>
    <row r="46" spans="1:26" x14ac:dyDescent="0.3">
      <c r="B46" t="s">
        <v>120</v>
      </c>
      <c r="F46" s="78">
        <v>5000</v>
      </c>
      <c r="I46" s="2"/>
      <c r="J46" s="2"/>
      <c r="K46" s="1"/>
      <c r="L46" s="1"/>
      <c r="M46" s="1"/>
      <c r="X46"/>
      <c r="Y46"/>
      <c r="Z46"/>
    </row>
    <row r="47" spans="1:26" x14ac:dyDescent="0.3">
      <c r="I47" s="2"/>
      <c r="J47" s="2"/>
      <c r="K47" s="1"/>
      <c r="L47" s="1"/>
      <c r="M47" s="1"/>
      <c r="X47"/>
      <c r="Y47"/>
      <c r="Z47"/>
    </row>
    <row r="48" spans="1:26" x14ac:dyDescent="0.3">
      <c r="A48" t="s">
        <v>84</v>
      </c>
      <c r="B48" s="28" t="s">
        <v>13</v>
      </c>
      <c r="C48" s="29">
        <v>4000</v>
      </c>
      <c r="E48" t="s">
        <v>6</v>
      </c>
      <c r="O48" s="1"/>
      <c r="P48" s="1"/>
      <c r="Q48" s="1"/>
      <c r="X48"/>
      <c r="Y48"/>
      <c r="Z48"/>
    </row>
    <row r="49" spans="1:28" x14ac:dyDescent="0.3">
      <c r="B49" s="28" t="s">
        <v>15</v>
      </c>
      <c r="E49" t="s">
        <v>4</v>
      </c>
      <c r="O49" s="1"/>
      <c r="P49" s="1"/>
      <c r="Q49" s="1"/>
      <c r="X49"/>
      <c r="Y49"/>
      <c r="Z49"/>
    </row>
    <row r="50" spans="1:28" x14ac:dyDescent="0.3">
      <c r="B50" s="28" t="s">
        <v>85</v>
      </c>
      <c r="O50" s="1"/>
      <c r="P50" s="1"/>
      <c r="Q50" s="1"/>
      <c r="X50"/>
      <c r="Y50"/>
      <c r="Z50"/>
    </row>
    <row r="51" spans="1:28" ht="15" thickBot="1" x14ac:dyDescent="0.35">
      <c r="B51" s="28" t="s">
        <v>16</v>
      </c>
      <c r="E51" t="s">
        <v>17</v>
      </c>
      <c r="G51" s="79">
        <v>35</v>
      </c>
      <c r="H51" s="1"/>
      <c r="K51" s="1"/>
      <c r="L51" s="1"/>
      <c r="M51" s="1"/>
      <c r="N51" s="1"/>
      <c r="O51" s="1"/>
      <c r="X51"/>
      <c r="Y51"/>
      <c r="Z51"/>
    </row>
    <row r="52" spans="1:28" x14ac:dyDescent="0.3">
      <c r="B52" s="28" t="s">
        <v>14</v>
      </c>
      <c r="I52" s="16"/>
      <c r="J52" s="3"/>
      <c r="K52" s="51"/>
      <c r="L52" s="51"/>
      <c r="M52" s="51"/>
      <c r="N52" s="51"/>
      <c r="O52" s="51"/>
      <c r="P52" s="3"/>
      <c r="Q52" s="3"/>
      <c r="R52" s="4"/>
      <c r="X52"/>
      <c r="Y52"/>
      <c r="Z52"/>
    </row>
    <row r="53" spans="1:28" ht="15.6" x14ac:dyDescent="0.3">
      <c r="B53" s="28" t="s">
        <v>19</v>
      </c>
      <c r="C53" s="28"/>
      <c r="I53" s="5"/>
      <c r="K53" s="111" t="s">
        <v>111</v>
      </c>
      <c r="Q53" s="53"/>
      <c r="R53" s="34"/>
      <c r="S53" s="1"/>
      <c r="X53"/>
      <c r="Y53"/>
      <c r="Z53"/>
    </row>
    <row r="54" spans="1:28" x14ac:dyDescent="0.3">
      <c r="I54" s="5"/>
      <c r="J54" s="31" t="s">
        <v>5</v>
      </c>
      <c r="K54" s="31"/>
      <c r="P54" s="53"/>
      <c r="R54" s="6"/>
      <c r="S54" s="1"/>
      <c r="T54" s="1"/>
      <c r="X54"/>
      <c r="Y54"/>
      <c r="Z54"/>
    </row>
    <row r="55" spans="1:28" x14ac:dyDescent="0.3">
      <c r="I55" s="5"/>
      <c r="K55" s="31" t="s">
        <v>47</v>
      </c>
      <c r="L55" s="31"/>
      <c r="Q55" s="53"/>
      <c r="R55" s="6"/>
      <c r="T55" s="1"/>
      <c r="U55" s="1"/>
      <c r="V55" s="1"/>
      <c r="X55"/>
      <c r="Y55"/>
      <c r="Z55"/>
    </row>
    <row r="56" spans="1:28" ht="15" thickBot="1" x14ac:dyDescent="0.35">
      <c r="C56" s="48" t="s">
        <v>22</v>
      </c>
      <c r="D56" s="48" t="s">
        <v>0</v>
      </c>
      <c r="E56" s="48" t="s">
        <v>38</v>
      </c>
      <c r="F56" s="48" t="s">
        <v>24</v>
      </c>
      <c r="G56" s="48"/>
      <c r="H56" s="48"/>
      <c r="I56" s="5"/>
      <c r="R56" s="6"/>
      <c r="W56" s="1"/>
      <c r="X56"/>
      <c r="Y56"/>
      <c r="AA56" s="1"/>
      <c r="AB56" s="1"/>
    </row>
    <row r="57" spans="1:28" x14ac:dyDescent="0.3">
      <c r="A57" s="49" t="s">
        <v>40</v>
      </c>
      <c r="B57" s="38" t="s">
        <v>46</v>
      </c>
      <c r="C57" s="50">
        <f>F42</f>
        <v>391.66699999999997</v>
      </c>
      <c r="D57" s="51">
        <f>C57*30</f>
        <v>11750.009999999998</v>
      </c>
      <c r="E57" s="52">
        <f>D57*12</f>
        <v>141000.12</v>
      </c>
      <c r="F57" s="4"/>
      <c r="I57" s="33"/>
      <c r="J57" s="3"/>
      <c r="K57" s="115" t="s">
        <v>76</v>
      </c>
      <c r="L57" s="115"/>
      <c r="M57" s="3"/>
      <c r="N57" s="3"/>
      <c r="O57" s="3"/>
      <c r="P57" s="3"/>
      <c r="Q57" s="4"/>
      <c r="R57" s="112" t="s">
        <v>99</v>
      </c>
      <c r="V57" s="116" t="s">
        <v>102</v>
      </c>
      <c r="W57" s="116"/>
      <c r="X57" s="116"/>
      <c r="Y57"/>
      <c r="Z57"/>
    </row>
    <row r="58" spans="1:28" x14ac:dyDescent="0.3">
      <c r="A58" s="5"/>
      <c r="B58" s="31" t="s">
        <v>42</v>
      </c>
      <c r="C58" s="92">
        <v>300</v>
      </c>
      <c r="D58" s="80">
        <f>(C58*30)</f>
        <v>9000</v>
      </c>
      <c r="E58" s="2">
        <f>D58*12</f>
        <v>108000</v>
      </c>
      <c r="F58" s="6"/>
      <c r="I58" s="35"/>
      <c r="K58" s="42" t="s">
        <v>39</v>
      </c>
      <c r="L58" s="42" t="s">
        <v>56</v>
      </c>
      <c r="M58" s="44" t="s">
        <v>86</v>
      </c>
      <c r="N58" s="44"/>
      <c r="O58" s="44" t="s">
        <v>89</v>
      </c>
      <c r="P58" s="44" t="s">
        <v>23</v>
      </c>
      <c r="Q58" s="39" t="s">
        <v>75</v>
      </c>
      <c r="R58" s="112" t="s">
        <v>100</v>
      </c>
      <c r="S58" s="48"/>
      <c r="T58" s="1"/>
      <c r="U58" s="1"/>
      <c r="V58" s="1"/>
      <c r="X58"/>
      <c r="Y58"/>
      <c r="Z58"/>
    </row>
    <row r="59" spans="1:28" ht="15" thickBot="1" x14ac:dyDescent="0.35">
      <c r="A59" s="5"/>
      <c r="B59" s="31"/>
      <c r="C59" s="31"/>
      <c r="E59" s="2">
        <f>SUM(E57:E58)</f>
        <v>249000.12</v>
      </c>
      <c r="F59" s="11">
        <f>E59*2</f>
        <v>498000.24</v>
      </c>
      <c r="G59" s="2"/>
      <c r="H59" s="2"/>
      <c r="I59" s="35" t="s">
        <v>70</v>
      </c>
      <c r="K59" s="43">
        <f>D$98</f>
        <v>65000</v>
      </c>
      <c r="L59" s="43">
        <f>E59+C91</f>
        <v>334540.12</v>
      </c>
      <c r="M59" s="45">
        <f>C117</f>
        <v>282000</v>
      </c>
      <c r="N59" s="45"/>
      <c r="O59" s="45">
        <f>M59+K59-L59</f>
        <v>12459.880000000005</v>
      </c>
      <c r="P59" s="69">
        <f>C109</f>
        <v>275100</v>
      </c>
      <c r="Q59" s="59">
        <v>750000</v>
      </c>
      <c r="R59" s="34"/>
      <c r="T59" s="1"/>
      <c r="U59" s="116" t="s">
        <v>82</v>
      </c>
      <c r="V59" s="116"/>
      <c r="X59" s="117" t="s">
        <v>23</v>
      </c>
      <c r="Y59" s="117"/>
      <c r="Z59"/>
    </row>
    <row r="60" spans="1:28" x14ac:dyDescent="0.3">
      <c r="A60" s="5"/>
      <c r="B60" s="31"/>
      <c r="C60" s="31"/>
      <c r="E60" s="2"/>
      <c r="F60" s="11"/>
      <c r="G60" s="2"/>
      <c r="H60" s="2"/>
      <c r="I60" s="47" t="s">
        <v>40</v>
      </c>
      <c r="J60" s="31" t="s">
        <v>61</v>
      </c>
      <c r="K60" s="70">
        <f>'cash Flow'!D13+(F45+F46)</f>
        <v>32550</v>
      </c>
      <c r="L60" s="37">
        <f>'cash Flow'!D9</f>
        <v>83635.029999999984</v>
      </c>
      <c r="M60" s="2">
        <f>U60</f>
        <v>230914.97000000003</v>
      </c>
      <c r="N60" s="23"/>
      <c r="O60" s="24">
        <f>M60+K60-L60</f>
        <v>179829.94000000006</v>
      </c>
      <c r="P60" s="24">
        <f>Y60</f>
        <v>275100</v>
      </c>
      <c r="Q60" s="11">
        <f>IF(P60&gt;0,Q59,Q59+P60-ABS(O60))</f>
        <v>750000</v>
      </c>
      <c r="R60" s="6" t="str">
        <f>IF(Q60&lt;Q59,"Time to sell","hold")</f>
        <v>hold</v>
      </c>
      <c r="S60" s="1"/>
      <c r="T60" s="1"/>
      <c r="U60" s="97">
        <f>M59+K60-L60</f>
        <v>230914.97000000003</v>
      </c>
      <c r="V60" s="51">
        <f>IF(U60&gt;0,M60+(K61-L61),0)</f>
        <v>157279.94000000006</v>
      </c>
      <c r="W60" s="98">
        <f>IF(V60&gt;0,V60,0)</f>
        <v>157279.94000000006</v>
      </c>
      <c r="X60" s="101">
        <f>IF(O60&gt;0,P59,P59+O60)</f>
        <v>275100</v>
      </c>
      <c r="Y60" s="98">
        <f>IF(X60&gt;0,X60,0)</f>
        <v>275100</v>
      </c>
      <c r="Z60"/>
    </row>
    <row r="61" spans="1:28" ht="15" thickBot="1" x14ac:dyDescent="0.35">
      <c r="A61" s="7"/>
      <c r="B61" s="41"/>
      <c r="C61" s="41"/>
      <c r="D61" s="8"/>
      <c r="E61" s="54"/>
      <c r="F61" s="12"/>
      <c r="G61" s="2"/>
      <c r="H61" s="2"/>
      <c r="I61" s="5"/>
      <c r="J61" s="31" t="s">
        <v>62</v>
      </c>
      <c r="K61" s="23">
        <f>'cash Flow'!G13</f>
        <v>10000</v>
      </c>
      <c r="L61" s="37">
        <f>'cash Flow'!G9</f>
        <v>83635.029999999984</v>
      </c>
      <c r="M61" s="2">
        <f>W60</f>
        <v>157279.94000000006</v>
      </c>
      <c r="N61" s="24"/>
      <c r="O61" s="24">
        <f t="shared" ref="O61:O71" si="20">M61+K61-L61</f>
        <v>83644.910000000076</v>
      </c>
      <c r="P61" s="24">
        <f t="shared" ref="P61:P71" si="21">Y61</f>
        <v>275100</v>
      </c>
      <c r="Q61" s="11">
        <f t="shared" ref="Q61:Q70" si="22">IF(P61&gt;0,Q60,Q60+P61-ABS(O61))</f>
        <v>750000</v>
      </c>
      <c r="R61" s="6" t="str">
        <f t="shared" ref="R61:R71" si="23">IF(Q61&lt;Q60,"Time to sell","hold")</f>
        <v>hold</v>
      </c>
      <c r="S61" s="1"/>
      <c r="T61" s="1"/>
      <c r="U61" s="99">
        <f>M60+K61-L61</f>
        <v>157279.94000000006</v>
      </c>
      <c r="V61" s="53">
        <f>IF(U61&gt;0,M61+(K62-L62),0)</f>
        <v>83644.910000000076</v>
      </c>
      <c r="W61" s="34">
        <f t="shared" ref="W61:W71" si="24">IF(V61&gt;0,V61,0)</f>
        <v>83644.910000000076</v>
      </c>
      <c r="X61" s="102">
        <f t="shared" ref="X61:X71" si="25">IF(O61&gt;0,P60,P60+O61)</f>
        <v>275100</v>
      </c>
      <c r="Y61" s="34">
        <f t="shared" ref="Y61:Y71" si="26">IF(X61&gt;0,X61,0)</f>
        <v>275100</v>
      </c>
      <c r="Z61"/>
    </row>
    <row r="62" spans="1:28" x14ac:dyDescent="0.3">
      <c r="B62" s="31"/>
      <c r="C62" s="31"/>
      <c r="E62" s="2"/>
      <c r="F62" s="2"/>
      <c r="G62" s="2"/>
      <c r="H62" s="2"/>
      <c r="I62" s="5"/>
      <c r="J62" s="31" t="s">
        <v>63</v>
      </c>
      <c r="K62" s="23">
        <f>'cash Flow'!J13</f>
        <v>10000</v>
      </c>
      <c r="L62" s="37">
        <f>'cash Flow'!J9</f>
        <v>83635.029999999984</v>
      </c>
      <c r="M62" s="2">
        <f t="shared" ref="M62:M71" si="27">W61</f>
        <v>83644.910000000076</v>
      </c>
      <c r="N62" s="95" t="s">
        <v>5</v>
      </c>
      <c r="O62" s="24">
        <f t="shared" si="20"/>
        <v>10009.880000000092</v>
      </c>
      <c r="P62" s="24">
        <f t="shared" si="21"/>
        <v>275100</v>
      </c>
      <c r="Q62" s="11">
        <f t="shared" si="22"/>
        <v>750000</v>
      </c>
      <c r="R62" s="6" t="str">
        <f t="shared" si="23"/>
        <v>hold</v>
      </c>
      <c r="S62" s="1"/>
      <c r="T62" s="1"/>
      <c r="U62" s="99">
        <f t="shared" ref="U62:U71" si="28">M61+K62-L62</f>
        <v>83644.910000000076</v>
      </c>
      <c r="V62" s="53">
        <f>IF(U62&gt;0,M62+(K63-L63),0)</f>
        <v>35009.880000000092</v>
      </c>
      <c r="W62" s="34">
        <f t="shared" si="24"/>
        <v>35009.880000000092</v>
      </c>
      <c r="X62" s="102">
        <f t="shared" si="25"/>
        <v>275100</v>
      </c>
      <c r="Y62" s="34">
        <f t="shared" si="26"/>
        <v>275100</v>
      </c>
      <c r="Z62"/>
    </row>
    <row r="63" spans="1:28" ht="15" thickBot="1" x14ac:dyDescent="0.35">
      <c r="B63" s="31"/>
      <c r="C63" s="31"/>
      <c r="I63" s="5"/>
      <c r="J63" s="31" t="s">
        <v>64</v>
      </c>
      <c r="K63" s="23">
        <f>'cash Flow'!M13</f>
        <v>35000</v>
      </c>
      <c r="L63" s="37">
        <f>'cash Flow'!M9</f>
        <v>83635.029999999984</v>
      </c>
      <c r="M63" s="2">
        <f t="shared" si="27"/>
        <v>35009.880000000092</v>
      </c>
      <c r="N63" s="62"/>
      <c r="O63" s="24">
        <f t="shared" si="20"/>
        <v>-13625.149999999892</v>
      </c>
      <c r="P63" s="24">
        <f t="shared" si="21"/>
        <v>261474.85000000009</v>
      </c>
      <c r="Q63" s="11">
        <f t="shared" si="22"/>
        <v>750000</v>
      </c>
      <c r="R63" s="6" t="str">
        <f t="shared" si="23"/>
        <v>hold</v>
      </c>
      <c r="S63" s="1"/>
      <c r="T63" s="1"/>
      <c r="U63" s="99">
        <f t="shared" si="28"/>
        <v>35009.880000000092</v>
      </c>
      <c r="V63" s="53">
        <f t="shared" ref="V63:V71" si="29">IF(U63&gt;0,M63+(K64-L64),0)</f>
        <v>-38625.149999999892</v>
      </c>
      <c r="W63" s="34">
        <f t="shared" si="24"/>
        <v>0</v>
      </c>
      <c r="X63" s="102">
        <f t="shared" si="25"/>
        <v>261474.85000000009</v>
      </c>
      <c r="Y63" s="34">
        <f t="shared" si="26"/>
        <v>261474.85000000009</v>
      </c>
      <c r="Z63"/>
    </row>
    <row r="64" spans="1:28" x14ac:dyDescent="0.3">
      <c r="A64" s="49" t="s">
        <v>41</v>
      </c>
      <c r="B64" s="38" t="s">
        <v>46</v>
      </c>
      <c r="C64" s="50">
        <f>F42</f>
        <v>391.66699999999997</v>
      </c>
      <c r="D64" s="51">
        <f>C64*30</f>
        <v>11750.009999999998</v>
      </c>
      <c r="E64" s="52">
        <f>D64*12</f>
        <v>141000.12</v>
      </c>
      <c r="F64" s="4"/>
      <c r="I64" s="5"/>
      <c r="J64" s="31" t="s">
        <v>65</v>
      </c>
      <c r="K64" s="23">
        <f>'cash Flow'!D13</f>
        <v>10000</v>
      </c>
      <c r="L64" s="37">
        <f>'cash Flow'!D9</f>
        <v>83635.029999999984</v>
      </c>
      <c r="M64" s="2">
        <f t="shared" si="27"/>
        <v>0</v>
      </c>
      <c r="N64" s="62"/>
      <c r="O64" s="24">
        <f t="shared" si="20"/>
        <v>-73635.029999999984</v>
      </c>
      <c r="P64" s="24">
        <f t="shared" si="21"/>
        <v>187839.82000000012</v>
      </c>
      <c r="Q64" s="11">
        <f t="shared" si="22"/>
        <v>750000</v>
      </c>
      <c r="R64" s="6" t="str">
        <f t="shared" si="23"/>
        <v>hold</v>
      </c>
      <c r="S64" s="53"/>
      <c r="T64" s="1"/>
      <c r="U64" s="99">
        <f t="shared" si="28"/>
        <v>-38625.149999999892</v>
      </c>
      <c r="V64" s="53">
        <f t="shared" si="29"/>
        <v>0</v>
      </c>
      <c r="W64" s="34">
        <f t="shared" si="24"/>
        <v>0</v>
      </c>
      <c r="X64" s="102">
        <f t="shared" si="25"/>
        <v>187839.82000000012</v>
      </c>
      <c r="Y64" s="34">
        <f t="shared" si="26"/>
        <v>187839.82000000012</v>
      </c>
      <c r="Z64"/>
    </row>
    <row r="65" spans="1:29" ht="16.2" customHeight="1" x14ac:dyDescent="0.3">
      <c r="A65" s="5"/>
      <c r="B65" s="93" t="s">
        <v>67</v>
      </c>
      <c r="C65" s="92">
        <v>300</v>
      </c>
      <c r="D65" s="80">
        <f>(C65*30)*0.57</f>
        <v>5130</v>
      </c>
      <c r="E65" s="2">
        <f>D65*12</f>
        <v>61560</v>
      </c>
      <c r="F65" s="6"/>
      <c r="I65" s="5"/>
      <c r="J65" s="31" t="s">
        <v>66</v>
      </c>
      <c r="K65" s="23">
        <f>'cash Flow'!G13</f>
        <v>10000</v>
      </c>
      <c r="L65" s="37">
        <f>'cash Flow'!G9</f>
        <v>83635.029999999984</v>
      </c>
      <c r="M65" s="2">
        <f t="shared" si="27"/>
        <v>0</v>
      </c>
      <c r="N65" s="62"/>
      <c r="O65" s="24">
        <f>M65+K65-L65</f>
        <v>-73635.029999999984</v>
      </c>
      <c r="P65" s="24">
        <f t="shared" si="21"/>
        <v>114204.79000000014</v>
      </c>
      <c r="Q65" s="11">
        <f>IF(P65&gt;0,Q64,Q64+P65-ABS(O65))</f>
        <v>750000</v>
      </c>
      <c r="R65" s="6" t="str">
        <f t="shared" si="23"/>
        <v>hold</v>
      </c>
      <c r="S65" s="1"/>
      <c r="T65" s="1"/>
      <c r="U65" s="99">
        <f t="shared" si="28"/>
        <v>-73635.029999999984</v>
      </c>
      <c r="V65" s="53">
        <f t="shared" si="29"/>
        <v>0</v>
      </c>
      <c r="W65" s="34">
        <f t="shared" si="24"/>
        <v>0</v>
      </c>
      <c r="X65" s="102">
        <f t="shared" si="25"/>
        <v>114204.79000000014</v>
      </c>
      <c r="Y65" s="34">
        <f t="shared" si="26"/>
        <v>114204.79000000014</v>
      </c>
      <c r="Z65"/>
    </row>
    <row r="66" spans="1:29" x14ac:dyDescent="0.3">
      <c r="A66" s="5"/>
      <c r="B66" s="31"/>
      <c r="C66" s="31"/>
      <c r="E66" s="2">
        <f>SUM(E64:E65)</f>
        <v>202560.12</v>
      </c>
      <c r="F66" s="11">
        <f>E66*2</f>
        <v>405120.24</v>
      </c>
      <c r="G66" s="2"/>
      <c r="H66" s="2"/>
      <c r="I66" s="5"/>
      <c r="J66" s="31" t="s">
        <v>68</v>
      </c>
      <c r="K66" s="23">
        <f>'cash Flow'!J13</f>
        <v>10000</v>
      </c>
      <c r="L66" s="37">
        <f>'cash Flow'!J9</f>
        <v>83635.029999999984</v>
      </c>
      <c r="M66" s="2">
        <f t="shared" si="27"/>
        <v>0</v>
      </c>
      <c r="N66" s="62"/>
      <c r="O66" s="24">
        <f>M66+K66-L66</f>
        <v>-73635.029999999984</v>
      </c>
      <c r="P66" s="24">
        <f t="shared" si="21"/>
        <v>40569.760000000155</v>
      </c>
      <c r="Q66" s="11">
        <f t="shared" si="22"/>
        <v>750000</v>
      </c>
      <c r="R66" s="6" t="str">
        <f t="shared" si="23"/>
        <v>hold</v>
      </c>
      <c r="T66" s="1"/>
      <c r="U66" s="99">
        <f t="shared" si="28"/>
        <v>-73635.029999999984</v>
      </c>
      <c r="V66" s="53">
        <f t="shared" si="29"/>
        <v>0</v>
      </c>
      <c r="W66" s="34">
        <f t="shared" si="24"/>
        <v>0</v>
      </c>
      <c r="X66" s="102">
        <f t="shared" si="25"/>
        <v>40569.760000000155</v>
      </c>
      <c r="Y66" s="34">
        <f t="shared" si="26"/>
        <v>40569.760000000155</v>
      </c>
      <c r="Z66"/>
    </row>
    <row r="67" spans="1:29" ht="15" thickBot="1" x14ac:dyDescent="0.35">
      <c r="A67" s="7"/>
      <c r="B67" s="41"/>
      <c r="C67" s="41"/>
      <c r="D67" s="8"/>
      <c r="E67" s="8"/>
      <c r="F67" s="40"/>
      <c r="I67" s="5"/>
      <c r="J67" s="31" t="s">
        <v>69</v>
      </c>
      <c r="K67" s="23">
        <f>'cash Flow'!M13</f>
        <v>35000</v>
      </c>
      <c r="L67" s="37">
        <f>'cash Flow'!M9</f>
        <v>83635.029999999984</v>
      </c>
      <c r="M67" s="2">
        <f t="shared" si="27"/>
        <v>0</v>
      </c>
      <c r="N67" s="62"/>
      <c r="O67" s="24">
        <f>M67+K67-L67</f>
        <v>-48635.029999999984</v>
      </c>
      <c r="P67" s="24">
        <f t="shared" si="21"/>
        <v>0</v>
      </c>
      <c r="Q67" s="11">
        <f t="shared" si="22"/>
        <v>701364.97</v>
      </c>
      <c r="R67" s="6" t="str">
        <f t="shared" si="23"/>
        <v>Time to sell</v>
      </c>
      <c r="T67" s="1"/>
      <c r="U67" s="99">
        <f t="shared" si="28"/>
        <v>-48635.029999999984</v>
      </c>
      <c r="V67" s="53">
        <f t="shared" si="29"/>
        <v>0</v>
      </c>
      <c r="W67" s="34">
        <f t="shared" si="24"/>
        <v>0</v>
      </c>
      <c r="X67" s="102">
        <f t="shared" si="25"/>
        <v>-8065.2699999998295</v>
      </c>
      <c r="Y67" s="34">
        <f t="shared" si="26"/>
        <v>0</v>
      </c>
      <c r="Z67"/>
    </row>
    <row r="68" spans="1:29" x14ac:dyDescent="0.3">
      <c r="B68" s="31"/>
      <c r="C68" s="31"/>
      <c r="I68" s="5"/>
      <c r="J68" s="31" t="s">
        <v>71</v>
      </c>
      <c r="K68" s="23">
        <f>'cash Flow'!D13</f>
        <v>10000</v>
      </c>
      <c r="L68" s="37">
        <f>'cash Flow'!D9</f>
        <v>83635.029999999984</v>
      </c>
      <c r="M68" s="2">
        <f t="shared" si="27"/>
        <v>0</v>
      </c>
      <c r="N68" s="62"/>
      <c r="O68" s="24">
        <f>M68+K68-L68</f>
        <v>-73635.029999999984</v>
      </c>
      <c r="P68" s="24">
        <f t="shared" si="21"/>
        <v>0</v>
      </c>
      <c r="Q68" s="11">
        <f>IF(P68&gt;0,Q67,Q67+P68-ABS(O68))</f>
        <v>627729.93999999994</v>
      </c>
      <c r="R68" s="6" t="str">
        <f t="shared" si="23"/>
        <v>Time to sell</v>
      </c>
      <c r="T68" s="1"/>
      <c r="U68" s="99">
        <f t="shared" si="28"/>
        <v>-73635.029999999984</v>
      </c>
      <c r="V68" s="53">
        <f t="shared" si="29"/>
        <v>0</v>
      </c>
      <c r="W68" s="34">
        <f t="shared" si="24"/>
        <v>0</v>
      </c>
      <c r="X68" s="102">
        <f t="shared" si="25"/>
        <v>-73635.029999999984</v>
      </c>
      <c r="Y68" s="34">
        <f t="shared" si="26"/>
        <v>0</v>
      </c>
      <c r="Z68"/>
    </row>
    <row r="69" spans="1:29" ht="15" thickBot="1" x14ac:dyDescent="0.35">
      <c r="E69" t="s">
        <v>93</v>
      </c>
      <c r="I69" s="5"/>
      <c r="J69" s="31" t="s">
        <v>72</v>
      </c>
      <c r="K69" s="23">
        <f>'cash Flow'!G13</f>
        <v>10000</v>
      </c>
      <c r="L69" s="37">
        <f>'cash Flow'!G9</f>
        <v>83635.029999999984</v>
      </c>
      <c r="M69" s="2">
        <f t="shared" si="27"/>
        <v>0</v>
      </c>
      <c r="N69" s="62"/>
      <c r="O69" s="24">
        <f t="shared" si="20"/>
        <v>-73635.029999999984</v>
      </c>
      <c r="P69" s="24">
        <f t="shared" si="21"/>
        <v>0</v>
      </c>
      <c r="Q69" s="11">
        <f t="shared" si="22"/>
        <v>554094.90999999992</v>
      </c>
      <c r="R69" s="6" t="str">
        <f t="shared" si="23"/>
        <v>Time to sell</v>
      </c>
      <c r="U69" s="99">
        <f t="shared" si="28"/>
        <v>-73635.029999999984</v>
      </c>
      <c r="V69" s="53">
        <f t="shared" si="29"/>
        <v>0</v>
      </c>
      <c r="W69" s="34">
        <f t="shared" si="24"/>
        <v>0</v>
      </c>
      <c r="X69" s="102">
        <f t="shared" si="25"/>
        <v>-73635.029999999984</v>
      </c>
      <c r="Y69" s="34">
        <f t="shared" si="26"/>
        <v>0</v>
      </c>
      <c r="Z69"/>
    </row>
    <row r="70" spans="1:29" x14ac:dyDescent="0.3">
      <c r="B70" s="33" t="s">
        <v>91</v>
      </c>
      <c r="C70" s="4"/>
      <c r="E70" s="2">
        <f>E59-E66</f>
        <v>46440</v>
      </c>
      <c r="I70" s="5"/>
      <c r="J70" s="31" t="s">
        <v>73</v>
      </c>
      <c r="K70" s="23">
        <f>'cash Flow'!J13</f>
        <v>10000</v>
      </c>
      <c r="L70" s="37">
        <f>'cash Flow'!J9</f>
        <v>83635.029999999984</v>
      </c>
      <c r="M70" s="2">
        <f t="shared" si="27"/>
        <v>0</v>
      </c>
      <c r="N70" s="62"/>
      <c r="O70" s="24">
        <f t="shared" si="20"/>
        <v>-73635.029999999984</v>
      </c>
      <c r="P70" s="24">
        <f t="shared" si="21"/>
        <v>0</v>
      </c>
      <c r="Q70" s="11">
        <f t="shared" si="22"/>
        <v>480459.87999999995</v>
      </c>
      <c r="R70" s="6" t="str">
        <f t="shared" si="23"/>
        <v>Time to sell</v>
      </c>
      <c r="U70" s="99">
        <f t="shared" si="28"/>
        <v>-73635.029999999984</v>
      </c>
      <c r="V70" s="53">
        <f t="shared" si="29"/>
        <v>0</v>
      </c>
      <c r="W70" s="34">
        <f t="shared" si="24"/>
        <v>0</v>
      </c>
      <c r="X70" s="102">
        <f t="shared" si="25"/>
        <v>-73635.029999999984</v>
      </c>
      <c r="Y70" s="34">
        <f t="shared" si="26"/>
        <v>0</v>
      </c>
      <c r="Z70"/>
    </row>
    <row r="71" spans="1:29" ht="15" thickBot="1" x14ac:dyDescent="0.35">
      <c r="B71" s="5" t="s">
        <v>55</v>
      </c>
      <c r="C71" s="94">
        <v>0</v>
      </c>
      <c r="E71" s="89">
        <f>1-(E66/E59)</f>
        <v>0.18650593421400763</v>
      </c>
      <c r="I71" s="7"/>
      <c r="J71" s="41" t="s">
        <v>74</v>
      </c>
      <c r="K71" s="71">
        <f>'cash Flow'!M13</f>
        <v>35000</v>
      </c>
      <c r="L71" s="46">
        <f>'cash Flow'!M9</f>
        <v>83635.029999999984</v>
      </c>
      <c r="M71" s="54">
        <f t="shared" si="27"/>
        <v>0</v>
      </c>
      <c r="N71" s="96"/>
      <c r="O71" s="73">
        <f t="shared" si="20"/>
        <v>-48635.029999999984</v>
      </c>
      <c r="P71" s="73">
        <f t="shared" si="21"/>
        <v>0</v>
      </c>
      <c r="Q71" s="12">
        <f>IF(P71&gt;0,Q70,Q70+P71-ABS(O71))</f>
        <v>431824.85</v>
      </c>
      <c r="R71" s="6" t="str">
        <f t="shared" si="23"/>
        <v>Time to sell</v>
      </c>
      <c r="U71" s="100">
        <f t="shared" si="28"/>
        <v>-48635.029999999984</v>
      </c>
      <c r="V71" s="9">
        <f t="shared" si="29"/>
        <v>0</v>
      </c>
      <c r="W71" s="67">
        <f t="shared" si="24"/>
        <v>0</v>
      </c>
      <c r="X71" s="103">
        <f t="shared" si="25"/>
        <v>-48635.029999999984</v>
      </c>
      <c r="Y71" s="67">
        <f t="shared" si="26"/>
        <v>0</v>
      </c>
      <c r="Z71"/>
    </row>
    <row r="72" spans="1:29" ht="15" thickBot="1" x14ac:dyDescent="0.35">
      <c r="B72" s="5"/>
      <c r="C72" s="94"/>
      <c r="I72" s="5"/>
      <c r="J72" s="31"/>
      <c r="K72" s="2"/>
      <c r="L72" s="2"/>
      <c r="M72" s="63"/>
      <c r="N72" s="63"/>
      <c r="O72" s="53"/>
      <c r="Q72" s="2"/>
      <c r="R72" s="6"/>
      <c r="X72"/>
      <c r="Y72"/>
      <c r="Z72"/>
    </row>
    <row r="73" spans="1:29" x14ac:dyDescent="0.3">
      <c r="B73" s="19" t="s">
        <v>25</v>
      </c>
      <c r="C73" s="81">
        <v>12000</v>
      </c>
      <c r="I73" s="16"/>
      <c r="J73" s="3"/>
      <c r="K73" s="115" t="s">
        <v>76</v>
      </c>
      <c r="L73" s="115"/>
      <c r="M73" s="3"/>
      <c r="N73" s="3"/>
      <c r="O73" s="3"/>
      <c r="P73" s="3"/>
      <c r="Q73" s="4"/>
      <c r="R73" s="6"/>
      <c r="X73"/>
      <c r="Y73"/>
      <c r="Z73"/>
    </row>
    <row r="74" spans="1:29" x14ac:dyDescent="0.3">
      <c r="B74" s="19" t="s">
        <v>26</v>
      </c>
      <c r="C74" s="81">
        <f>600*4</f>
        <v>2400</v>
      </c>
      <c r="I74" s="5"/>
      <c r="K74" s="42" t="s">
        <v>39</v>
      </c>
      <c r="L74" s="42" t="s">
        <v>56</v>
      </c>
      <c r="M74" s="44" t="s">
        <v>86</v>
      </c>
      <c r="N74" s="44"/>
      <c r="O74" s="44" t="s">
        <v>89</v>
      </c>
      <c r="P74" s="44" t="s">
        <v>23</v>
      </c>
      <c r="Q74" s="39" t="s">
        <v>75</v>
      </c>
      <c r="R74" s="6"/>
      <c r="X74"/>
      <c r="Y74"/>
      <c r="Z74"/>
      <c r="AA74" s="1"/>
      <c r="AB74" s="1"/>
      <c r="AC74" s="1"/>
    </row>
    <row r="75" spans="1:29" ht="15" thickBot="1" x14ac:dyDescent="0.35">
      <c r="B75" s="19" t="s">
        <v>27</v>
      </c>
      <c r="C75" s="81">
        <f>200*52</f>
        <v>10400</v>
      </c>
      <c r="I75" s="5"/>
      <c r="K75" s="43">
        <f>'cash Flow'!O13</f>
        <v>65000</v>
      </c>
      <c r="L75" s="43">
        <f>E66+C91</f>
        <v>288100.12</v>
      </c>
      <c r="M75" s="45">
        <f>C117</f>
        <v>282000</v>
      </c>
      <c r="N75" s="45"/>
      <c r="O75" s="45">
        <f>M75+K75-L75</f>
        <v>58899.880000000005</v>
      </c>
      <c r="P75" s="45">
        <f>C109</f>
        <v>275100</v>
      </c>
      <c r="Q75" s="59">
        <v>750000</v>
      </c>
      <c r="R75" s="6"/>
      <c r="X75"/>
      <c r="Y75"/>
      <c r="Z75"/>
      <c r="AA75" s="1"/>
      <c r="AB75" s="1"/>
      <c r="AC75" s="1"/>
    </row>
    <row r="76" spans="1:29" x14ac:dyDescent="0.3">
      <c r="B76" s="19" t="s">
        <v>28</v>
      </c>
      <c r="C76" s="81">
        <f>150*12</f>
        <v>1800</v>
      </c>
      <c r="I76" s="47" t="s">
        <v>41</v>
      </c>
      <c r="J76" s="31" t="s">
        <v>61</v>
      </c>
      <c r="K76" s="70">
        <f>'cash Flow'!D13</f>
        <v>10000</v>
      </c>
      <c r="L76" s="23">
        <f>'cash Flow'!D24</f>
        <v>72025.03</v>
      </c>
      <c r="M76" s="23">
        <f>M75+K76-L76</f>
        <v>219974.97</v>
      </c>
      <c r="N76" s="23"/>
      <c r="O76" s="72">
        <f>M76+K76-L76</f>
        <v>157949.94</v>
      </c>
      <c r="P76" s="32">
        <f>Y76</f>
        <v>275100</v>
      </c>
      <c r="Q76" s="11">
        <f>IF(P76&gt;0,Q75,Q75+P76-ABS(O76))</f>
        <v>750000</v>
      </c>
      <c r="R76" s="6" t="str">
        <f t="shared" ref="R76:R87" si="30">IF(Q76&lt;Q75,"Time to sell","hold")</f>
        <v>hold</v>
      </c>
      <c r="S76" s="1"/>
      <c r="U76" s="106">
        <f>M75+K76-L76</f>
        <v>219974.97</v>
      </c>
      <c r="V76" s="51">
        <f t="shared" ref="V76:V87" si="31">IF(U76&gt;0,M76+(K77-L77),0)</f>
        <v>157949.94</v>
      </c>
      <c r="W76" s="109">
        <f>IF(V76&gt;0,V76,0)</f>
        <v>157949.94</v>
      </c>
      <c r="X76" s="51">
        <f>IF(O76&gt;0,P75,P75+O76)</f>
        <v>275100</v>
      </c>
      <c r="Y76" s="98">
        <f>IF(X76&gt;0,X76,0)</f>
        <v>275100</v>
      </c>
      <c r="Z76"/>
      <c r="AA76" s="1"/>
      <c r="AB76" s="1"/>
      <c r="AC76" s="1"/>
    </row>
    <row r="77" spans="1:29" x14ac:dyDescent="0.3">
      <c r="B77" s="19" t="s">
        <v>31</v>
      </c>
      <c r="C77" s="81">
        <v>3000</v>
      </c>
      <c r="I77" s="5"/>
      <c r="J77" s="31" t="s">
        <v>62</v>
      </c>
      <c r="K77" s="23">
        <f>'cash Flow'!G13</f>
        <v>10000</v>
      </c>
      <c r="L77" s="23">
        <f>'cash Flow'!G24</f>
        <v>72025.03</v>
      </c>
      <c r="M77" s="23">
        <f>W76</f>
        <v>157949.94</v>
      </c>
      <c r="N77" s="23"/>
      <c r="O77" s="24">
        <f t="shared" ref="O77:O80" si="32">M77+K77-L77</f>
        <v>95924.91</v>
      </c>
      <c r="P77" s="32">
        <f t="shared" ref="P77:P87" si="33">Y77</f>
        <v>275100</v>
      </c>
      <c r="Q77" s="11">
        <f t="shared" ref="Q77:Q87" si="34">IF(P77&gt;0,Q76,Q76+P77-ABS(O77))</f>
        <v>750000</v>
      </c>
      <c r="R77" s="6" t="str">
        <f t="shared" si="30"/>
        <v>hold</v>
      </c>
      <c r="S77" s="1"/>
      <c r="U77" s="107">
        <f t="shared" ref="U77:U87" si="35">M76+K77-L77</f>
        <v>157949.94</v>
      </c>
      <c r="V77" s="53">
        <f t="shared" si="31"/>
        <v>95924.91</v>
      </c>
      <c r="W77" s="32">
        <f t="shared" ref="W77:W87" si="36">IF(V77&gt;0,V77,0)</f>
        <v>95924.91</v>
      </c>
      <c r="X77" s="53">
        <f t="shared" ref="X77:X87" si="37">IF(O77&gt;0,P76,P76+O77)</f>
        <v>275100</v>
      </c>
      <c r="Y77" s="34">
        <f t="shared" ref="Y77:Y87" si="38">IF(X77&gt;0,X77,0)</f>
        <v>275100</v>
      </c>
      <c r="Z77"/>
      <c r="AA77" s="1"/>
      <c r="AB77" s="1"/>
      <c r="AC77" s="1"/>
    </row>
    <row r="78" spans="1:29" x14ac:dyDescent="0.3">
      <c r="B78" s="19" t="s">
        <v>32</v>
      </c>
      <c r="C78" s="81">
        <f>150*12</f>
        <v>1800</v>
      </c>
      <c r="I78" s="5"/>
      <c r="J78" s="31" t="s">
        <v>63</v>
      </c>
      <c r="K78" s="23">
        <f>'cash Flow'!J13</f>
        <v>10000</v>
      </c>
      <c r="L78" s="23">
        <f>'cash Flow'!J24</f>
        <v>72025.03</v>
      </c>
      <c r="M78" s="23">
        <f t="shared" ref="M78:M87" si="39">W77</f>
        <v>95924.91</v>
      </c>
      <c r="N78" s="23"/>
      <c r="O78" s="24">
        <f t="shared" si="32"/>
        <v>33899.880000000005</v>
      </c>
      <c r="P78" s="32">
        <f t="shared" si="33"/>
        <v>275100</v>
      </c>
      <c r="Q78" s="11">
        <f t="shared" si="34"/>
        <v>750000</v>
      </c>
      <c r="R78" s="6" t="str">
        <f t="shared" si="30"/>
        <v>hold</v>
      </c>
      <c r="S78" s="1"/>
      <c r="U78" s="107">
        <f t="shared" si="35"/>
        <v>95924.91</v>
      </c>
      <c r="V78" s="53">
        <f t="shared" si="31"/>
        <v>58899.880000000005</v>
      </c>
      <c r="W78" s="32">
        <f t="shared" si="36"/>
        <v>58899.880000000005</v>
      </c>
      <c r="X78" s="53">
        <f t="shared" si="37"/>
        <v>275100</v>
      </c>
      <c r="Y78" s="34">
        <f t="shared" si="38"/>
        <v>275100</v>
      </c>
      <c r="Z78"/>
      <c r="AA78" s="1"/>
      <c r="AB78" s="1"/>
      <c r="AC78" s="1"/>
    </row>
    <row r="79" spans="1:29" x14ac:dyDescent="0.3">
      <c r="B79" s="19" t="s">
        <v>43</v>
      </c>
      <c r="C79" s="82">
        <v>20000</v>
      </c>
      <c r="I79" s="5"/>
      <c r="J79" s="31" t="s">
        <v>64</v>
      </c>
      <c r="K79" s="23">
        <f>'cash Flow'!M13</f>
        <v>35000</v>
      </c>
      <c r="L79" s="23">
        <f>'cash Flow'!M24</f>
        <v>72025.03</v>
      </c>
      <c r="M79" s="23">
        <f t="shared" si="39"/>
        <v>58899.880000000005</v>
      </c>
      <c r="N79" s="62"/>
      <c r="O79" s="24">
        <f t="shared" si="32"/>
        <v>21874.850000000006</v>
      </c>
      <c r="P79" s="32">
        <f t="shared" si="33"/>
        <v>275100</v>
      </c>
      <c r="Q79" s="11">
        <f t="shared" si="34"/>
        <v>750000</v>
      </c>
      <c r="R79" s="6" t="str">
        <f t="shared" si="30"/>
        <v>hold</v>
      </c>
      <c r="S79" s="1"/>
      <c r="U79" s="107">
        <f t="shared" si="35"/>
        <v>58899.880000000005</v>
      </c>
      <c r="V79" s="53">
        <f t="shared" si="31"/>
        <v>-3125.1499999999942</v>
      </c>
      <c r="W79" s="32">
        <f t="shared" si="36"/>
        <v>0</v>
      </c>
      <c r="X79" s="53">
        <f t="shared" si="37"/>
        <v>275100</v>
      </c>
      <c r="Y79" s="34">
        <f t="shared" si="38"/>
        <v>275100</v>
      </c>
      <c r="Z79"/>
      <c r="AA79" s="1"/>
      <c r="AB79" s="1"/>
      <c r="AC79" s="1"/>
    </row>
    <row r="80" spans="1:29" x14ac:dyDescent="0.3">
      <c r="B80" s="20" t="s">
        <v>45</v>
      </c>
      <c r="C80" s="113">
        <f>SUM(C71:C79)</f>
        <v>51400</v>
      </c>
      <c r="I80" s="5"/>
      <c r="J80" s="31" t="s">
        <v>65</v>
      </c>
      <c r="K80" s="23">
        <f>'cash Flow'!D13</f>
        <v>10000</v>
      </c>
      <c r="L80" s="23">
        <f>'cash Flow'!D24</f>
        <v>72025.03</v>
      </c>
      <c r="M80" s="23">
        <f t="shared" si="39"/>
        <v>0</v>
      </c>
      <c r="N80" s="62"/>
      <c r="O80" s="24">
        <f t="shared" si="32"/>
        <v>-62025.03</v>
      </c>
      <c r="P80" s="32">
        <f t="shared" si="33"/>
        <v>213074.97</v>
      </c>
      <c r="Q80" s="11">
        <f t="shared" si="34"/>
        <v>750000</v>
      </c>
      <c r="R80" s="6" t="str">
        <f t="shared" si="30"/>
        <v>hold</v>
      </c>
      <c r="S80" s="1"/>
      <c r="U80" s="107">
        <f t="shared" si="35"/>
        <v>-3125.1499999999942</v>
      </c>
      <c r="V80" s="53">
        <f t="shared" si="31"/>
        <v>0</v>
      </c>
      <c r="W80" s="32">
        <f t="shared" si="36"/>
        <v>0</v>
      </c>
      <c r="X80" s="53">
        <f t="shared" si="37"/>
        <v>213074.97</v>
      </c>
      <c r="Y80" s="34">
        <f t="shared" si="38"/>
        <v>213074.97</v>
      </c>
      <c r="AA80" s="1"/>
      <c r="AB80" s="1"/>
    </row>
    <row r="81" spans="2:28" x14ac:dyDescent="0.3">
      <c r="B81" s="56" t="s">
        <v>92</v>
      </c>
      <c r="C81" s="57"/>
      <c r="I81" s="5"/>
      <c r="J81" s="31" t="s">
        <v>66</v>
      </c>
      <c r="K81" s="23">
        <f>'cash Flow'!G13</f>
        <v>10000</v>
      </c>
      <c r="L81" s="23">
        <f>'cash Flow'!G24</f>
        <v>72025.03</v>
      </c>
      <c r="M81" s="23">
        <f t="shared" si="39"/>
        <v>0</v>
      </c>
      <c r="N81" s="62"/>
      <c r="O81" s="24">
        <f>M81+K81-L81</f>
        <v>-62025.03</v>
      </c>
      <c r="P81" s="32">
        <f t="shared" si="33"/>
        <v>151049.94</v>
      </c>
      <c r="Q81" s="11">
        <f t="shared" si="34"/>
        <v>750000</v>
      </c>
      <c r="R81" s="6" t="str">
        <f t="shared" si="30"/>
        <v>hold</v>
      </c>
      <c r="S81" s="1"/>
      <c r="U81" s="107">
        <f t="shared" si="35"/>
        <v>-62025.03</v>
      </c>
      <c r="V81" s="53">
        <f t="shared" si="31"/>
        <v>0</v>
      </c>
      <c r="W81" s="32">
        <f t="shared" si="36"/>
        <v>0</v>
      </c>
      <c r="X81" s="53">
        <f t="shared" si="37"/>
        <v>151049.94</v>
      </c>
      <c r="Y81" s="34">
        <f t="shared" si="38"/>
        <v>151049.94</v>
      </c>
      <c r="AA81" s="1"/>
      <c r="AB81" s="1"/>
    </row>
    <row r="82" spans="2:28" x14ac:dyDescent="0.3">
      <c r="B82" s="5" t="s">
        <v>55</v>
      </c>
      <c r="C82" s="94">
        <v>0</v>
      </c>
      <c r="I82" s="5"/>
      <c r="J82" s="31" t="s">
        <v>68</v>
      </c>
      <c r="K82" s="23">
        <f>'cash Flow'!J13</f>
        <v>10000</v>
      </c>
      <c r="L82" s="23">
        <f>'cash Flow'!J24</f>
        <v>72025.03</v>
      </c>
      <c r="M82" s="23">
        <f t="shared" si="39"/>
        <v>0</v>
      </c>
      <c r="N82" s="62"/>
      <c r="O82" s="24">
        <f t="shared" ref="O82:O87" si="40">M82+K82-L82</f>
        <v>-62025.03</v>
      </c>
      <c r="P82" s="32">
        <f t="shared" si="33"/>
        <v>89024.91</v>
      </c>
      <c r="Q82" s="11">
        <f t="shared" si="34"/>
        <v>750000</v>
      </c>
      <c r="R82" s="6" t="str">
        <f t="shared" si="30"/>
        <v>hold</v>
      </c>
      <c r="S82" s="53"/>
      <c r="U82" s="107">
        <f t="shared" si="35"/>
        <v>-62025.03</v>
      </c>
      <c r="V82" s="53">
        <f t="shared" si="31"/>
        <v>0</v>
      </c>
      <c r="W82" s="32">
        <f t="shared" si="36"/>
        <v>0</v>
      </c>
      <c r="X82" s="53">
        <f t="shared" si="37"/>
        <v>89024.91</v>
      </c>
      <c r="Y82" s="34">
        <f t="shared" si="38"/>
        <v>89024.91</v>
      </c>
      <c r="AA82" s="1"/>
      <c r="AB82" s="1"/>
    </row>
    <row r="83" spans="2:28" x14ac:dyDescent="0.3">
      <c r="B83" s="19" t="s">
        <v>25</v>
      </c>
      <c r="C83" s="81">
        <v>4500</v>
      </c>
      <c r="I83" s="5"/>
      <c r="J83" s="31" t="s">
        <v>69</v>
      </c>
      <c r="K83" s="23">
        <f>'cash Flow'!M13</f>
        <v>35000</v>
      </c>
      <c r="L83" s="23">
        <f>'cash Flow'!M24</f>
        <v>72025.03</v>
      </c>
      <c r="M83" s="23">
        <f t="shared" si="39"/>
        <v>0</v>
      </c>
      <c r="N83" s="62"/>
      <c r="O83" s="24">
        <f t="shared" si="40"/>
        <v>-37025.03</v>
      </c>
      <c r="P83" s="32">
        <f t="shared" si="33"/>
        <v>51999.880000000005</v>
      </c>
      <c r="Q83" s="11">
        <f t="shared" si="34"/>
        <v>750000</v>
      </c>
      <c r="R83" s="6" t="str">
        <f t="shared" si="30"/>
        <v>hold</v>
      </c>
      <c r="S83" s="1"/>
      <c r="U83" s="107">
        <f t="shared" si="35"/>
        <v>-37025.03</v>
      </c>
      <c r="V83" s="53">
        <f t="shared" si="31"/>
        <v>0</v>
      </c>
      <c r="W83" s="32">
        <f t="shared" si="36"/>
        <v>0</v>
      </c>
      <c r="X83" s="53">
        <f t="shared" si="37"/>
        <v>51999.880000000005</v>
      </c>
      <c r="Y83" s="34">
        <f t="shared" si="38"/>
        <v>51999.880000000005</v>
      </c>
      <c r="AA83" s="1"/>
      <c r="AB83" s="1"/>
    </row>
    <row r="84" spans="2:28" x14ac:dyDescent="0.3">
      <c r="B84" s="19" t="s">
        <v>26</v>
      </c>
      <c r="C84" s="81">
        <v>500</v>
      </c>
      <c r="I84" s="5"/>
      <c r="J84" s="31" t="s">
        <v>71</v>
      </c>
      <c r="K84" s="23">
        <f>'cash Flow'!D13</f>
        <v>10000</v>
      </c>
      <c r="L84" s="23">
        <f>'cash Flow'!D24</f>
        <v>72025.03</v>
      </c>
      <c r="M84" s="23">
        <f t="shared" si="39"/>
        <v>0</v>
      </c>
      <c r="N84" s="62"/>
      <c r="O84" s="24">
        <f>M84+K84-L84</f>
        <v>-62025.03</v>
      </c>
      <c r="P84" s="32">
        <f t="shared" si="33"/>
        <v>0</v>
      </c>
      <c r="Q84" s="11">
        <f t="shared" si="34"/>
        <v>687974.97</v>
      </c>
      <c r="R84" s="6" t="str">
        <f t="shared" si="30"/>
        <v>Time to sell</v>
      </c>
      <c r="S84" s="1"/>
      <c r="U84" s="107">
        <f t="shared" si="35"/>
        <v>-62025.03</v>
      </c>
      <c r="V84" s="53">
        <f t="shared" si="31"/>
        <v>0</v>
      </c>
      <c r="W84" s="32">
        <f t="shared" si="36"/>
        <v>0</v>
      </c>
      <c r="X84" s="53">
        <f t="shared" si="37"/>
        <v>-10025.149999999994</v>
      </c>
      <c r="Y84" s="34">
        <f t="shared" si="38"/>
        <v>0</v>
      </c>
      <c r="AA84" s="1"/>
      <c r="AB84" s="1"/>
    </row>
    <row r="85" spans="2:28" x14ac:dyDescent="0.3">
      <c r="B85" s="19" t="s">
        <v>29</v>
      </c>
      <c r="C85" s="81">
        <v>2500</v>
      </c>
      <c r="I85" s="5"/>
      <c r="J85" s="31" t="s">
        <v>72</v>
      </c>
      <c r="K85" s="23">
        <f>'cash Flow'!G13</f>
        <v>10000</v>
      </c>
      <c r="L85" s="23">
        <f>'cash Flow'!G24</f>
        <v>72025.03</v>
      </c>
      <c r="M85" s="23">
        <f t="shared" si="39"/>
        <v>0</v>
      </c>
      <c r="N85" s="62"/>
      <c r="O85" s="24">
        <f t="shared" si="40"/>
        <v>-62025.03</v>
      </c>
      <c r="P85" s="32">
        <f t="shared" si="33"/>
        <v>0</v>
      </c>
      <c r="Q85" s="11">
        <f t="shared" si="34"/>
        <v>625949.93999999994</v>
      </c>
      <c r="R85" s="6" t="str">
        <f t="shared" si="30"/>
        <v>Time to sell</v>
      </c>
      <c r="S85" s="1"/>
      <c r="U85" s="107">
        <f t="shared" si="35"/>
        <v>-62025.03</v>
      </c>
      <c r="V85" s="53">
        <f t="shared" si="31"/>
        <v>0</v>
      </c>
      <c r="W85" s="32">
        <f t="shared" si="36"/>
        <v>0</v>
      </c>
      <c r="X85" s="53">
        <f t="shared" si="37"/>
        <v>-62025.03</v>
      </c>
      <c r="Y85" s="34">
        <f t="shared" si="38"/>
        <v>0</v>
      </c>
      <c r="AA85" s="1"/>
      <c r="AB85" s="1"/>
    </row>
    <row r="86" spans="2:28" x14ac:dyDescent="0.3">
      <c r="B86" s="19" t="s">
        <v>30</v>
      </c>
      <c r="C86" s="81">
        <v>2500</v>
      </c>
      <c r="I86" s="5"/>
      <c r="J86" s="31" t="s">
        <v>73</v>
      </c>
      <c r="K86" s="23">
        <f>'cash Flow'!J13</f>
        <v>10000</v>
      </c>
      <c r="L86" s="23">
        <f>'cash Flow'!J24</f>
        <v>72025.03</v>
      </c>
      <c r="M86" s="23">
        <f t="shared" si="39"/>
        <v>0</v>
      </c>
      <c r="N86" s="62"/>
      <c r="O86" s="24">
        <f t="shared" si="40"/>
        <v>-62025.03</v>
      </c>
      <c r="P86" s="32">
        <f t="shared" si="33"/>
        <v>0</v>
      </c>
      <c r="Q86" s="11">
        <f t="shared" si="34"/>
        <v>563924.90999999992</v>
      </c>
      <c r="R86" s="6" t="str">
        <f t="shared" si="30"/>
        <v>Time to sell</v>
      </c>
      <c r="S86" s="1"/>
      <c r="U86" s="107">
        <f t="shared" si="35"/>
        <v>-62025.03</v>
      </c>
      <c r="V86" s="53">
        <f t="shared" si="31"/>
        <v>0</v>
      </c>
      <c r="W86" s="32">
        <f t="shared" si="36"/>
        <v>0</v>
      </c>
      <c r="X86" s="53">
        <f t="shared" si="37"/>
        <v>-62025.03</v>
      </c>
      <c r="Y86" s="34">
        <f t="shared" si="38"/>
        <v>0</v>
      </c>
      <c r="AA86" s="1"/>
      <c r="AB86" s="1"/>
    </row>
    <row r="87" spans="2:28" ht="15" thickBot="1" x14ac:dyDescent="0.35">
      <c r="B87" s="19" t="s">
        <v>31</v>
      </c>
      <c r="C87" s="81">
        <v>1500</v>
      </c>
      <c r="I87" s="7"/>
      <c r="J87" s="41" t="s">
        <v>74</v>
      </c>
      <c r="K87" s="71">
        <f>'cash Flow'!M13</f>
        <v>35000</v>
      </c>
      <c r="L87" s="71">
        <f>'cash Flow'!M24</f>
        <v>72025.03</v>
      </c>
      <c r="M87" s="71">
        <f t="shared" si="39"/>
        <v>0</v>
      </c>
      <c r="N87" s="96"/>
      <c r="O87" s="73">
        <f t="shared" si="40"/>
        <v>-37025.03</v>
      </c>
      <c r="P87" s="104">
        <f t="shared" si="33"/>
        <v>0</v>
      </c>
      <c r="Q87" s="12">
        <f t="shared" si="34"/>
        <v>526899.87999999989</v>
      </c>
      <c r="R87" s="6" t="str">
        <f t="shared" si="30"/>
        <v>Time to sell</v>
      </c>
      <c r="S87" s="1"/>
      <c r="U87" s="108">
        <f t="shared" si="35"/>
        <v>-37025.03</v>
      </c>
      <c r="V87" s="9">
        <f t="shared" si="31"/>
        <v>0</v>
      </c>
      <c r="W87" s="104">
        <f t="shared" si="36"/>
        <v>0</v>
      </c>
      <c r="X87" s="9">
        <f t="shared" si="37"/>
        <v>-37025.03</v>
      </c>
      <c r="Y87" s="67">
        <f t="shared" si="38"/>
        <v>0</v>
      </c>
      <c r="AA87" s="1"/>
      <c r="AB87" s="1"/>
    </row>
    <row r="88" spans="2:28" x14ac:dyDescent="0.3">
      <c r="B88" s="19" t="s">
        <v>32</v>
      </c>
      <c r="C88" s="81">
        <f>220*12</f>
        <v>2640</v>
      </c>
      <c r="I88" s="5"/>
      <c r="R88" s="6"/>
      <c r="X88"/>
      <c r="Y88"/>
      <c r="AA88" s="1"/>
      <c r="AB88" s="1"/>
    </row>
    <row r="89" spans="2:28" x14ac:dyDescent="0.3">
      <c r="B89" s="19" t="s">
        <v>43</v>
      </c>
      <c r="C89" s="82">
        <v>20000</v>
      </c>
      <c r="I89" s="5" t="s">
        <v>87</v>
      </c>
      <c r="J89" t="s">
        <v>88</v>
      </c>
      <c r="R89" s="6"/>
      <c r="X89"/>
      <c r="Y89"/>
      <c r="AA89" s="1"/>
      <c r="AB89" s="1"/>
    </row>
    <row r="90" spans="2:28" x14ac:dyDescent="0.3">
      <c r="B90" s="19" t="s">
        <v>45</v>
      </c>
      <c r="C90" s="36">
        <f>SUM(C82:C89)</f>
        <v>34140</v>
      </c>
      <c r="I90" s="5" t="s">
        <v>90</v>
      </c>
      <c r="J90" t="s">
        <v>101</v>
      </c>
      <c r="R90" s="6"/>
      <c r="X90"/>
      <c r="Y90"/>
      <c r="AA90" s="1"/>
      <c r="AB90" s="1"/>
    </row>
    <row r="91" spans="2:28" ht="15" thickBot="1" x14ac:dyDescent="0.35">
      <c r="B91" s="58" t="s">
        <v>44</v>
      </c>
      <c r="C91" s="55">
        <f>C80+C90</f>
        <v>85540</v>
      </c>
      <c r="I91" s="7"/>
      <c r="J91" s="8"/>
      <c r="K91" s="8"/>
      <c r="L91" s="8"/>
      <c r="M91" s="8"/>
      <c r="N91" s="8"/>
      <c r="O91" s="8"/>
      <c r="P91" s="8"/>
      <c r="Q91" s="8"/>
      <c r="R91" s="40"/>
      <c r="X91"/>
      <c r="Y91"/>
      <c r="AA91" s="1"/>
      <c r="AB91" s="1"/>
    </row>
    <row r="92" spans="2:28" ht="15" thickBot="1" x14ac:dyDescent="0.35">
      <c r="D92" t="s">
        <v>5</v>
      </c>
      <c r="E92" t="s">
        <v>5</v>
      </c>
      <c r="X92"/>
      <c r="AA92" s="1"/>
    </row>
    <row r="93" spans="2:28" x14ac:dyDescent="0.3">
      <c r="B93" s="33" t="s">
        <v>33</v>
      </c>
      <c r="C93" s="83"/>
      <c r="D93" s="84" t="s">
        <v>58</v>
      </c>
    </row>
    <row r="94" spans="2:28" x14ac:dyDescent="0.3">
      <c r="B94" s="5" t="s">
        <v>34</v>
      </c>
      <c r="C94" s="85">
        <v>25000</v>
      </c>
      <c r="D94" s="86"/>
    </row>
    <row r="95" spans="2:28" x14ac:dyDescent="0.3">
      <c r="B95" s="5" t="s">
        <v>35</v>
      </c>
      <c r="C95" s="85">
        <v>10000</v>
      </c>
      <c r="D95" s="86"/>
    </row>
    <row r="96" spans="2:28" x14ac:dyDescent="0.3">
      <c r="B96" s="5" t="s">
        <v>37</v>
      </c>
      <c r="C96" s="85" t="s">
        <v>5</v>
      </c>
      <c r="D96" s="81">
        <v>25000</v>
      </c>
    </row>
    <row r="97" spans="2:26" x14ac:dyDescent="0.3">
      <c r="B97" s="5" t="s">
        <v>36</v>
      </c>
      <c r="C97" s="87">
        <v>5000</v>
      </c>
      <c r="D97" s="86"/>
    </row>
    <row r="98" spans="2:26" ht="15" thickBot="1" x14ac:dyDescent="0.35">
      <c r="B98" s="7"/>
      <c r="C98" s="60">
        <f>SUM(C94:C97)</f>
        <v>40000</v>
      </c>
      <c r="D98" s="61">
        <f>C98+D96</f>
        <v>65000</v>
      </c>
      <c r="W98" s="1"/>
      <c r="Z98"/>
    </row>
    <row r="99" spans="2:26" ht="15" thickBot="1" x14ac:dyDescent="0.35"/>
    <row r="100" spans="2:26" x14ac:dyDescent="0.3">
      <c r="B100" s="33" t="s">
        <v>23</v>
      </c>
      <c r="C100" s="4"/>
    </row>
    <row r="101" spans="2:26" x14ac:dyDescent="0.3">
      <c r="B101" s="17" t="s">
        <v>79</v>
      </c>
      <c r="C101" s="34"/>
    </row>
    <row r="102" spans="2:26" x14ac:dyDescent="0.3">
      <c r="B102" s="5" t="s">
        <v>121</v>
      </c>
      <c r="C102" s="81">
        <v>15000</v>
      </c>
    </row>
    <row r="103" spans="2:26" x14ac:dyDescent="0.3">
      <c r="B103" s="5" t="s">
        <v>123</v>
      </c>
      <c r="C103" s="81">
        <v>25000</v>
      </c>
    </row>
    <row r="104" spans="2:26" x14ac:dyDescent="0.3">
      <c r="B104" s="5" t="s">
        <v>122</v>
      </c>
      <c r="C104" s="81">
        <v>2600</v>
      </c>
    </row>
    <row r="105" spans="2:26" x14ac:dyDescent="0.3">
      <c r="B105" s="5" t="s">
        <v>124</v>
      </c>
      <c r="C105" s="82">
        <v>210000</v>
      </c>
    </row>
    <row r="106" spans="2:26" x14ac:dyDescent="0.3">
      <c r="B106" s="17" t="s">
        <v>125</v>
      </c>
      <c r="C106" s="88"/>
    </row>
    <row r="107" spans="2:26" x14ac:dyDescent="0.3">
      <c r="B107" s="5" t="s">
        <v>80</v>
      </c>
      <c r="C107" s="81">
        <v>500</v>
      </c>
    </row>
    <row r="108" spans="2:26" x14ac:dyDescent="0.3">
      <c r="B108" s="5" t="s">
        <v>81</v>
      </c>
      <c r="C108" s="82">
        <v>22000</v>
      </c>
    </row>
    <row r="109" spans="2:26" ht="15" thickBot="1" x14ac:dyDescent="0.35">
      <c r="B109" s="7"/>
      <c r="C109" s="68">
        <f>SUM(C102:C108)</f>
        <v>275100</v>
      </c>
    </row>
    <row r="110" spans="2:26" ht="15" thickBot="1" x14ac:dyDescent="0.35"/>
    <row r="111" spans="2:26" x14ac:dyDescent="0.3">
      <c r="B111" s="105" t="s">
        <v>82</v>
      </c>
      <c r="C111" s="4"/>
    </row>
    <row r="112" spans="2:26" x14ac:dyDescent="0.3">
      <c r="B112" s="5" t="s">
        <v>126</v>
      </c>
      <c r="C112" s="82">
        <v>40000</v>
      </c>
    </row>
    <row r="113" spans="2:3" x14ac:dyDescent="0.3">
      <c r="B113" s="17" t="s">
        <v>127</v>
      </c>
      <c r="C113" s="82">
        <v>150000</v>
      </c>
    </row>
    <row r="114" spans="2:3" x14ac:dyDescent="0.3">
      <c r="B114" s="5" t="s">
        <v>128</v>
      </c>
      <c r="C114" s="82">
        <v>35000</v>
      </c>
    </row>
    <row r="115" spans="2:3" x14ac:dyDescent="0.3">
      <c r="B115" s="17" t="s">
        <v>129</v>
      </c>
      <c r="C115" s="82">
        <v>47000</v>
      </c>
    </row>
    <row r="116" spans="2:3" x14ac:dyDescent="0.3">
      <c r="B116" s="5" t="s">
        <v>130</v>
      </c>
      <c r="C116" s="82">
        <v>10000</v>
      </c>
    </row>
    <row r="117" spans="2:3" ht="15" thickBot="1" x14ac:dyDescent="0.35">
      <c r="B117" s="7"/>
      <c r="C117" s="114">
        <f>SUM(C112:C116)</f>
        <v>282000</v>
      </c>
    </row>
  </sheetData>
  <mergeCells count="5">
    <mergeCell ref="K57:L57"/>
    <mergeCell ref="K73:L73"/>
    <mergeCell ref="U59:V59"/>
    <mergeCell ref="X59:Y59"/>
    <mergeCell ref="V57:X57"/>
  </mergeCells>
  <phoneticPr fontId="6" type="noConversion"/>
  <pageMargins left="0.7" right="0.7" top="0.75" bottom="0.75" header="0.3" footer="0.3"/>
  <pageSetup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175260</xdr:rowOff>
                  </from>
                  <to>
                    <xdr:col>3</xdr:col>
                    <xdr:colOff>807720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167640</xdr:rowOff>
                  </from>
                  <to>
                    <xdr:col>3</xdr:col>
                    <xdr:colOff>822960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175260</xdr:rowOff>
                  </from>
                  <to>
                    <xdr:col>3</xdr:col>
                    <xdr:colOff>822960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26</xdr:row>
                    <xdr:rowOff>175260</xdr:rowOff>
                  </from>
                  <to>
                    <xdr:col>3</xdr:col>
                    <xdr:colOff>830580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22860</xdr:colOff>
                    <xdr:row>28</xdr:row>
                    <xdr:rowOff>22860</xdr:rowOff>
                  </from>
                  <to>
                    <xdr:col>3</xdr:col>
                    <xdr:colOff>830580</xdr:colOff>
                    <xdr:row>29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22860</xdr:colOff>
                    <xdr:row>29</xdr:row>
                    <xdr:rowOff>22860</xdr:rowOff>
                  </from>
                  <to>
                    <xdr:col>3</xdr:col>
                    <xdr:colOff>830580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807720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167640</xdr:rowOff>
                  </from>
                  <to>
                    <xdr:col>3</xdr:col>
                    <xdr:colOff>822960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15240</xdr:colOff>
                    <xdr:row>34</xdr:row>
                    <xdr:rowOff>175260</xdr:rowOff>
                  </from>
                  <to>
                    <xdr:col>3</xdr:col>
                    <xdr:colOff>822960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22860</xdr:colOff>
                    <xdr:row>35</xdr:row>
                    <xdr:rowOff>175260</xdr:rowOff>
                  </from>
                  <to>
                    <xdr:col>3</xdr:col>
                    <xdr:colOff>822960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3</xdr:col>
                    <xdr:colOff>22860</xdr:colOff>
                    <xdr:row>37</xdr:row>
                    <xdr:rowOff>22860</xdr:rowOff>
                  </from>
                  <to>
                    <xdr:col>3</xdr:col>
                    <xdr:colOff>822960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22860</xdr:colOff>
                    <xdr:row>38</xdr:row>
                    <xdr:rowOff>22860</xdr:rowOff>
                  </from>
                  <to>
                    <xdr:col>3</xdr:col>
                    <xdr:colOff>822960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3</xdr:col>
                    <xdr:colOff>22860</xdr:colOff>
                    <xdr:row>30</xdr:row>
                    <xdr:rowOff>22860</xdr:rowOff>
                  </from>
                  <to>
                    <xdr:col>3</xdr:col>
                    <xdr:colOff>830580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3</xdr:col>
                    <xdr:colOff>22860</xdr:colOff>
                    <xdr:row>39</xdr:row>
                    <xdr:rowOff>22860</xdr:rowOff>
                  </from>
                  <to>
                    <xdr:col>3</xdr:col>
                    <xdr:colOff>830580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7620</xdr:colOff>
                    <xdr:row>33</xdr:row>
                    <xdr:rowOff>175260</xdr:rowOff>
                  </from>
                  <to>
                    <xdr:col>3</xdr:col>
                    <xdr:colOff>807720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3</xdr:col>
                    <xdr:colOff>7620</xdr:colOff>
                    <xdr:row>30</xdr:row>
                    <xdr:rowOff>175260</xdr:rowOff>
                  </from>
                  <to>
                    <xdr:col>3</xdr:col>
                    <xdr:colOff>822960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3</xdr:col>
                    <xdr:colOff>22860</xdr:colOff>
                    <xdr:row>39</xdr:row>
                    <xdr:rowOff>22860</xdr:rowOff>
                  </from>
                  <to>
                    <xdr:col>3</xdr:col>
                    <xdr:colOff>822960</xdr:colOff>
                    <xdr:row>40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3</xdr:col>
                    <xdr:colOff>7620</xdr:colOff>
                    <xdr:row>39</xdr:row>
                    <xdr:rowOff>175260</xdr:rowOff>
                  </from>
                  <to>
                    <xdr:col>3</xdr:col>
                    <xdr:colOff>822960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1143000</xdr:colOff>
                    <xdr:row>22</xdr:row>
                    <xdr:rowOff>160020</xdr:rowOff>
                  </from>
                  <to>
                    <xdr:col>3</xdr:col>
                    <xdr:colOff>800100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3</xdr:col>
                    <xdr:colOff>7620</xdr:colOff>
                    <xdr:row>24</xdr:row>
                    <xdr:rowOff>175260</xdr:rowOff>
                  </from>
                  <to>
                    <xdr:col>3</xdr:col>
                    <xdr:colOff>822960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8DBD-8FC4-47DC-8B09-47A6F7CD5361}">
  <dimension ref="A1:O24"/>
  <sheetViews>
    <sheetView workbookViewId="0">
      <selection activeCell="M12" sqref="M12"/>
    </sheetView>
  </sheetViews>
  <sheetFormatPr defaultRowHeight="14.4" x14ac:dyDescent="0.3"/>
  <cols>
    <col min="1" max="1" width="32.21875" bestFit="1" customWidth="1"/>
    <col min="2" max="2" width="12.21875" bestFit="1" customWidth="1"/>
    <col min="3" max="3" width="11.21875" bestFit="1" customWidth="1"/>
    <col min="4" max="4" width="11.88671875" bestFit="1" customWidth="1"/>
    <col min="5" max="6" width="11.21875" bestFit="1" customWidth="1"/>
    <col min="7" max="7" width="11.88671875" bestFit="1" customWidth="1"/>
    <col min="8" max="9" width="11.21875" bestFit="1" customWidth="1"/>
    <col min="10" max="10" width="11.88671875" bestFit="1" customWidth="1"/>
    <col min="11" max="11" width="12.21875" bestFit="1" customWidth="1"/>
    <col min="12" max="12" width="11.21875" bestFit="1" customWidth="1"/>
    <col min="13" max="14" width="12.21875" bestFit="1" customWidth="1"/>
    <col min="15" max="15" width="13" bestFit="1" customWidth="1"/>
  </cols>
  <sheetData>
    <row r="1" spans="1:15" x14ac:dyDescent="0.3">
      <c r="A1" s="118" t="s">
        <v>40</v>
      </c>
      <c r="B1" s="11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52</v>
      </c>
      <c r="O1" s="4"/>
    </row>
    <row r="2" spans="1:15" x14ac:dyDescent="0.3">
      <c r="A2" s="5" t="s">
        <v>48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53</v>
      </c>
      <c r="O2" s="6"/>
    </row>
    <row r="3" spans="1:15" x14ac:dyDescent="0.3">
      <c r="A3" s="5" t="s">
        <v>57</v>
      </c>
      <c r="O3" s="6"/>
    </row>
    <row r="4" spans="1:15" x14ac:dyDescent="0.3">
      <c r="A4" s="5" t="s">
        <v>49</v>
      </c>
      <c r="B4" s="2">
        <f>'Inputs and calcs'!$G$45</f>
        <v>11750.01</v>
      </c>
      <c r="C4" s="2">
        <f>'Inputs and calcs'!$G$45</f>
        <v>11750.01</v>
      </c>
      <c r="D4" s="2">
        <f>'Inputs and calcs'!$G$45</f>
        <v>11750.01</v>
      </c>
      <c r="E4" s="2">
        <f>'Inputs and calcs'!$G$45</f>
        <v>11750.01</v>
      </c>
      <c r="F4" s="2">
        <f>'Inputs and calcs'!$G$45</f>
        <v>11750.01</v>
      </c>
      <c r="G4" s="2">
        <f>'Inputs and calcs'!$G$45</f>
        <v>11750.01</v>
      </c>
      <c r="H4" s="2">
        <f>'Inputs and calcs'!$G$45</f>
        <v>11750.01</v>
      </c>
      <c r="I4" s="2">
        <f>'Inputs and calcs'!$G$45</f>
        <v>11750.01</v>
      </c>
      <c r="J4" s="2">
        <f>'Inputs and calcs'!$G$45</f>
        <v>11750.01</v>
      </c>
      <c r="K4" s="2">
        <f>'Inputs and calcs'!$G$45</f>
        <v>11750.01</v>
      </c>
      <c r="L4" s="2">
        <f>'Inputs and calcs'!$G$45</f>
        <v>11750.01</v>
      </c>
      <c r="M4" s="2">
        <f>'Inputs and calcs'!$G$45</f>
        <v>11750.01</v>
      </c>
      <c r="N4" s="2">
        <f>SUM(B4:M4)</f>
        <v>141000.11999999997</v>
      </c>
      <c r="O4" s="6"/>
    </row>
    <row r="5" spans="1:15" x14ac:dyDescent="0.3">
      <c r="A5" s="5" t="s">
        <v>54</v>
      </c>
      <c r="B5" s="2">
        <f>'Inputs and calcs'!$D$58</f>
        <v>9000</v>
      </c>
      <c r="C5" s="2">
        <f>'Inputs and calcs'!$D$58</f>
        <v>9000</v>
      </c>
      <c r="D5" s="2">
        <f>'Inputs and calcs'!$D$58</f>
        <v>9000</v>
      </c>
      <c r="E5" s="2">
        <f>'Inputs and calcs'!$D$58</f>
        <v>9000</v>
      </c>
      <c r="F5" s="2">
        <f>'Inputs and calcs'!$D$58</f>
        <v>9000</v>
      </c>
      <c r="G5" s="2">
        <f>'Inputs and calcs'!$D$58</f>
        <v>9000</v>
      </c>
      <c r="H5" s="2">
        <f>'Inputs and calcs'!$D$58</f>
        <v>9000</v>
      </c>
      <c r="I5" s="2">
        <f>'Inputs and calcs'!$D$58</f>
        <v>9000</v>
      </c>
      <c r="J5" s="2">
        <f>'Inputs and calcs'!$D$58</f>
        <v>9000</v>
      </c>
      <c r="K5" s="2">
        <f>'Inputs and calcs'!$D$58</f>
        <v>9000</v>
      </c>
      <c r="L5" s="2">
        <f>'Inputs and calcs'!$D$58</f>
        <v>9000</v>
      </c>
      <c r="M5" s="2">
        <f>'Inputs and calcs'!$D$58</f>
        <v>9000</v>
      </c>
      <c r="N5" s="2">
        <f>SUM(B5:M5)</f>
        <v>108000</v>
      </c>
      <c r="O5" s="6"/>
    </row>
    <row r="6" spans="1:15" x14ac:dyDescent="0.3">
      <c r="A6" s="5" t="s">
        <v>50</v>
      </c>
      <c r="B6" s="2">
        <f>('Inputs and calcs'!$C$80)/12</f>
        <v>4283.333333333333</v>
      </c>
      <c r="C6" s="2">
        <f>('Inputs and calcs'!$C$80)/12</f>
        <v>4283.333333333333</v>
      </c>
      <c r="D6" s="2">
        <f>('Inputs and calcs'!$C$80)/12</f>
        <v>4283.333333333333</v>
      </c>
      <c r="E6" s="2">
        <f>('Inputs and calcs'!$C$80)/12</f>
        <v>4283.333333333333</v>
      </c>
      <c r="F6" s="2">
        <f>('Inputs and calcs'!$C$80)/12</f>
        <v>4283.333333333333</v>
      </c>
      <c r="G6" s="2">
        <f>('Inputs and calcs'!$C$80)/12</f>
        <v>4283.333333333333</v>
      </c>
      <c r="H6" s="2">
        <f>('Inputs and calcs'!$C$80)/12</f>
        <v>4283.333333333333</v>
      </c>
      <c r="I6" s="2">
        <f>('Inputs and calcs'!$C$80)/12</f>
        <v>4283.333333333333</v>
      </c>
      <c r="J6" s="2">
        <f>('Inputs and calcs'!$C$80)/12</f>
        <v>4283.333333333333</v>
      </c>
      <c r="K6" s="2">
        <f>('Inputs and calcs'!$C$80)/12</f>
        <v>4283.333333333333</v>
      </c>
      <c r="L6" s="2">
        <f>('Inputs and calcs'!$C$80)/12</f>
        <v>4283.333333333333</v>
      </c>
      <c r="M6" s="2">
        <f>('Inputs and calcs'!$C$80)/12</f>
        <v>4283.333333333333</v>
      </c>
      <c r="N6" s="2">
        <f>SUM(B6:M6)</f>
        <v>51400.000000000007</v>
      </c>
      <c r="O6" s="6"/>
    </row>
    <row r="7" spans="1:15" x14ac:dyDescent="0.3">
      <c r="A7" s="5" t="s">
        <v>51</v>
      </c>
      <c r="B7" s="64">
        <f>'Inputs and calcs'!$C$90/12</f>
        <v>2845</v>
      </c>
      <c r="C7" s="64">
        <f>'Inputs and calcs'!$C$90/12</f>
        <v>2845</v>
      </c>
      <c r="D7" s="64">
        <f>'Inputs and calcs'!$C$90/12</f>
        <v>2845</v>
      </c>
      <c r="E7" s="64">
        <f>'Inputs and calcs'!$C$90/12</f>
        <v>2845</v>
      </c>
      <c r="F7" s="64">
        <f>'Inputs and calcs'!$C$90/12</f>
        <v>2845</v>
      </c>
      <c r="G7" s="64">
        <f>'Inputs and calcs'!$C$90/12</f>
        <v>2845</v>
      </c>
      <c r="H7" s="64">
        <f>'Inputs and calcs'!$C$90/12</f>
        <v>2845</v>
      </c>
      <c r="I7" s="64">
        <f>'Inputs and calcs'!$C$90/12</f>
        <v>2845</v>
      </c>
      <c r="J7" s="64">
        <f>'Inputs and calcs'!$C$90/12</f>
        <v>2845</v>
      </c>
      <c r="K7" s="64">
        <f>'Inputs and calcs'!$C$90/12</f>
        <v>2845</v>
      </c>
      <c r="L7" s="64">
        <f>'Inputs and calcs'!$C$90/12</f>
        <v>2845</v>
      </c>
      <c r="M7" s="64">
        <f>'Inputs and calcs'!$C$90/12</f>
        <v>2845</v>
      </c>
      <c r="N7" s="64">
        <f>SUM(B7:M7)</f>
        <v>34140</v>
      </c>
      <c r="O7" s="6"/>
    </row>
    <row r="8" spans="1:15" ht="15" thickBot="1" x14ac:dyDescent="0.35">
      <c r="A8" s="5" t="s">
        <v>77</v>
      </c>
      <c r="B8" s="65">
        <f>SUM(B4:B7)</f>
        <v>27878.343333333334</v>
      </c>
      <c r="N8" s="2" t="s">
        <v>5</v>
      </c>
      <c r="O8" s="11">
        <f>SUM(N4:N7)</f>
        <v>334540.12</v>
      </c>
    </row>
    <row r="9" spans="1:15" ht="15.6" thickTop="1" thickBot="1" x14ac:dyDescent="0.35">
      <c r="A9" s="7" t="s">
        <v>78</v>
      </c>
      <c r="B9" s="54"/>
      <c r="C9" s="8"/>
      <c r="D9" s="54">
        <f>SUM(B4:D7)</f>
        <v>83635.029999999984</v>
      </c>
      <c r="E9" s="8" t="s">
        <v>5</v>
      </c>
      <c r="F9" s="8"/>
      <c r="G9" s="54">
        <f>SUM(E4:G7)</f>
        <v>83635.029999999984</v>
      </c>
      <c r="H9" s="8"/>
      <c r="I9" s="8"/>
      <c r="J9" s="54">
        <f>SUM(H4:J7)</f>
        <v>83635.029999999984</v>
      </c>
      <c r="K9" s="8"/>
      <c r="L9" s="8"/>
      <c r="M9" s="54">
        <f>SUM(K4:M7)</f>
        <v>83635.029999999984</v>
      </c>
      <c r="N9" s="54">
        <f>SUM(D9:M9)</f>
        <v>334540.11999999994</v>
      </c>
      <c r="O9" s="12"/>
    </row>
    <row r="10" spans="1:15" ht="15" thickBot="1" x14ac:dyDescent="0.35">
      <c r="B10" s="2"/>
      <c r="D10" s="2"/>
      <c r="G10" s="2"/>
      <c r="J10" s="2"/>
      <c r="M10" s="2"/>
      <c r="N10" s="2"/>
      <c r="O10" s="2"/>
    </row>
    <row r="11" spans="1:15" x14ac:dyDescent="0.3">
      <c r="A11" s="16" t="s">
        <v>59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x14ac:dyDescent="0.3">
      <c r="A12" s="5"/>
      <c r="B12" s="2">
        <f>'Inputs and calcs'!$C$98/12</f>
        <v>3333.3333333333335</v>
      </c>
      <c r="C12" s="2">
        <f>'Inputs and calcs'!$C$98/12</f>
        <v>3333.3333333333335</v>
      </c>
      <c r="D12" s="2">
        <f>'Inputs and calcs'!$C$98/12</f>
        <v>3333.3333333333335</v>
      </c>
      <c r="E12" s="2">
        <f>'Inputs and calcs'!$C$98/12</f>
        <v>3333.3333333333335</v>
      </c>
      <c r="F12" s="2">
        <f>'Inputs and calcs'!$C$98/12</f>
        <v>3333.3333333333335</v>
      </c>
      <c r="G12" s="2">
        <f>'Inputs and calcs'!$C$98/12</f>
        <v>3333.3333333333335</v>
      </c>
      <c r="H12" s="2">
        <f>'Inputs and calcs'!$C$98/12</f>
        <v>3333.3333333333335</v>
      </c>
      <c r="I12" s="2">
        <f>'Inputs and calcs'!$C$98/12</f>
        <v>3333.3333333333335</v>
      </c>
      <c r="J12" s="2">
        <f>'Inputs and calcs'!$C$98/12</f>
        <v>3333.3333333333335</v>
      </c>
      <c r="K12" s="2">
        <f>'Inputs and calcs'!$C$98/12</f>
        <v>3333.3333333333335</v>
      </c>
      <c r="L12" s="2">
        <f>'Inputs and calcs'!$C$98/12</f>
        <v>3333.3333333333335</v>
      </c>
      <c r="M12" s="66">
        <f>L12+'Inputs and calcs'!D96</f>
        <v>28333.333333333332</v>
      </c>
      <c r="N12" s="2">
        <f>SUM(B12:M12)</f>
        <v>65000</v>
      </c>
      <c r="O12" s="6"/>
    </row>
    <row r="13" spans="1:15" x14ac:dyDescent="0.3">
      <c r="A13" s="5"/>
      <c r="D13" s="2">
        <f>SUM(B12:D12)</f>
        <v>10000</v>
      </c>
      <c r="E13" s="2" t="s">
        <v>5</v>
      </c>
      <c r="G13" s="2">
        <f>SUM(E12:G12)</f>
        <v>10000</v>
      </c>
      <c r="J13" s="2">
        <f>SUM(H12:J12)</f>
        <v>10000</v>
      </c>
      <c r="M13" s="2">
        <f>SUM(K12:M12)</f>
        <v>35000</v>
      </c>
      <c r="O13" s="11">
        <f>SUM(N12)</f>
        <v>65000</v>
      </c>
    </row>
    <row r="14" spans="1:15" ht="15" thickBot="1" x14ac:dyDescent="0.35">
      <c r="A14" s="7"/>
      <c r="B14" s="8"/>
      <c r="C14" s="8"/>
      <c r="D14" s="54">
        <f>D13-D9</f>
        <v>-73635.029999999984</v>
      </c>
      <c r="E14" s="8"/>
      <c r="F14" s="8"/>
      <c r="G14" s="54">
        <f>G13-G9</f>
        <v>-73635.029999999984</v>
      </c>
      <c r="H14" s="8"/>
      <c r="I14" s="8"/>
      <c r="J14" s="54">
        <f>J13-J9</f>
        <v>-73635.029999999984</v>
      </c>
      <c r="K14" s="8"/>
      <c r="L14" s="8"/>
      <c r="M14" s="54">
        <f>M13-M9</f>
        <v>-48635.029999999984</v>
      </c>
      <c r="N14" s="8" t="s">
        <v>60</v>
      </c>
      <c r="O14" s="12">
        <f>O13-O8</f>
        <v>-269540.12</v>
      </c>
    </row>
    <row r="15" spans="1:15" ht="15" thickBot="1" x14ac:dyDescent="0.35"/>
    <row r="16" spans="1:15" x14ac:dyDescent="0.3">
      <c r="A16" s="118" t="s">
        <v>41</v>
      </c>
      <c r="B16" s="1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 t="s">
        <v>52</v>
      </c>
      <c r="O16" s="4"/>
    </row>
    <row r="17" spans="1:15" x14ac:dyDescent="0.3">
      <c r="A17" s="5" t="s">
        <v>48</v>
      </c>
      <c r="B17">
        <v>1</v>
      </c>
      <c r="C17">
        <v>2</v>
      </c>
      <c r="D17">
        <v>3</v>
      </c>
      <c r="E17">
        <v>4</v>
      </c>
      <c r="F17">
        <v>5</v>
      </c>
      <c r="G17">
        <v>6</v>
      </c>
      <c r="H17">
        <v>7</v>
      </c>
      <c r="I17">
        <v>8</v>
      </c>
      <c r="J17">
        <v>9</v>
      </c>
      <c r="K17">
        <v>10</v>
      </c>
      <c r="L17">
        <v>11</v>
      </c>
      <c r="M17">
        <v>12</v>
      </c>
      <c r="N17" t="s">
        <v>53</v>
      </c>
      <c r="O17" s="6"/>
    </row>
    <row r="18" spans="1:15" x14ac:dyDescent="0.3">
      <c r="A18" s="5" t="s">
        <v>57</v>
      </c>
      <c r="O18" s="6"/>
    </row>
    <row r="19" spans="1:15" x14ac:dyDescent="0.3">
      <c r="A19" s="5" t="s">
        <v>49</v>
      </c>
      <c r="B19" s="2">
        <f>'Inputs and calcs'!$G$45</f>
        <v>11750.01</v>
      </c>
      <c r="C19" s="2">
        <f>'Inputs and calcs'!$G$45</f>
        <v>11750.01</v>
      </c>
      <c r="D19" s="2">
        <f>'Inputs and calcs'!$G$45</f>
        <v>11750.01</v>
      </c>
      <c r="E19" s="2">
        <f>'Inputs and calcs'!$G$45</f>
        <v>11750.01</v>
      </c>
      <c r="F19" s="2">
        <f>'Inputs and calcs'!$G$45</f>
        <v>11750.01</v>
      </c>
      <c r="G19" s="2">
        <f>'Inputs and calcs'!$G$45</f>
        <v>11750.01</v>
      </c>
      <c r="H19" s="2">
        <f>'Inputs and calcs'!$G$45</f>
        <v>11750.01</v>
      </c>
      <c r="I19" s="2">
        <f>'Inputs and calcs'!$G$45</f>
        <v>11750.01</v>
      </c>
      <c r="J19" s="2">
        <f>'Inputs and calcs'!$G$45</f>
        <v>11750.01</v>
      </c>
      <c r="K19" s="2">
        <f>'Inputs and calcs'!$G$45</f>
        <v>11750.01</v>
      </c>
      <c r="L19" s="2">
        <f>'Inputs and calcs'!$G$45</f>
        <v>11750.01</v>
      </c>
      <c r="M19" s="2">
        <f>'Inputs and calcs'!$G$45</f>
        <v>11750.01</v>
      </c>
      <c r="N19" s="2">
        <f>SUM(B19:M19)</f>
        <v>141000.11999999997</v>
      </c>
      <c r="O19" s="6"/>
    </row>
    <row r="20" spans="1:15" x14ac:dyDescent="0.3">
      <c r="A20" s="5" t="s">
        <v>54</v>
      </c>
      <c r="B20" s="2">
        <f>'Inputs and calcs'!$D$65</f>
        <v>5130</v>
      </c>
      <c r="C20" s="2">
        <f>'Inputs and calcs'!$D$65</f>
        <v>5130</v>
      </c>
      <c r="D20" s="2">
        <f>'Inputs and calcs'!$D$65</f>
        <v>5130</v>
      </c>
      <c r="E20" s="2">
        <f>'Inputs and calcs'!$D$65</f>
        <v>5130</v>
      </c>
      <c r="F20" s="2">
        <f>'Inputs and calcs'!$D$65</f>
        <v>5130</v>
      </c>
      <c r="G20" s="2">
        <f>'Inputs and calcs'!$D$65</f>
        <v>5130</v>
      </c>
      <c r="H20" s="2">
        <f>'Inputs and calcs'!$D$65</f>
        <v>5130</v>
      </c>
      <c r="I20" s="2">
        <f>'Inputs and calcs'!$D$65</f>
        <v>5130</v>
      </c>
      <c r="J20" s="2">
        <f>'Inputs and calcs'!$D$65</f>
        <v>5130</v>
      </c>
      <c r="K20" s="2">
        <f>'Inputs and calcs'!$D$65</f>
        <v>5130</v>
      </c>
      <c r="L20" s="2">
        <f>'Inputs and calcs'!$D$65</f>
        <v>5130</v>
      </c>
      <c r="M20" s="2">
        <f>'Inputs and calcs'!$D$65</f>
        <v>5130</v>
      </c>
      <c r="N20" s="2">
        <f>SUM(B20:M20)</f>
        <v>61560</v>
      </c>
      <c r="O20" s="6"/>
    </row>
    <row r="21" spans="1:15" x14ac:dyDescent="0.3">
      <c r="A21" s="5" t="s">
        <v>50</v>
      </c>
      <c r="B21" s="2">
        <f>('Inputs and calcs'!$C$80)/12</f>
        <v>4283.333333333333</v>
      </c>
      <c r="C21" s="2">
        <f>('Inputs and calcs'!$C$80)/12</f>
        <v>4283.333333333333</v>
      </c>
      <c r="D21" s="2">
        <f>('Inputs and calcs'!$C$80)/12</f>
        <v>4283.333333333333</v>
      </c>
      <c r="E21" s="2">
        <f>('Inputs and calcs'!$C$80)/12</f>
        <v>4283.333333333333</v>
      </c>
      <c r="F21" s="2">
        <f>('Inputs and calcs'!$C$80)/12</f>
        <v>4283.333333333333</v>
      </c>
      <c r="G21" s="2">
        <f>('Inputs and calcs'!$C$80)/12</f>
        <v>4283.333333333333</v>
      </c>
      <c r="H21" s="2">
        <f>('Inputs and calcs'!$C$80)/12</f>
        <v>4283.333333333333</v>
      </c>
      <c r="I21" s="2">
        <f>('Inputs and calcs'!$C$80)/12</f>
        <v>4283.333333333333</v>
      </c>
      <c r="J21" s="2">
        <f>('Inputs and calcs'!$C$80)/12</f>
        <v>4283.333333333333</v>
      </c>
      <c r="K21" s="2">
        <f>('Inputs and calcs'!$C$80)/12</f>
        <v>4283.333333333333</v>
      </c>
      <c r="L21" s="2">
        <f>('Inputs and calcs'!$C$80)/12</f>
        <v>4283.333333333333</v>
      </c>
      <c r="M21" s="2">
        <f>('Inputs and calcs'!$C$80)/12</f>
        <v>4283.333333333333</v>
      </c>
      <c r="N21" s="2">
        <f>SUM(B21:M21)</f>
        <v>51400.000000000007</v>
      </c>
      <c r="O21" s="6"/>
    </row>
    <row r="22" spans="1:15" x14ac:dyDescent="0.3">
      <c r="A22" s="5" t="s">
        <v>51</v>
      </c>
      <c r="B22" s="64">
        <f>'Inputs and calcs'!$C$90/12</f>
        <v>2845</v>
      </c>
      <c r="C22" s="64">
        <f>'Inputs and calcs'!$C$90/12</f>
        <v>2845</v>
      </c>
      <c r="D22" s="64">
        <f>'Inputs and calcs'!$C$90/12</f>
        <v>2845</v>
      </c>
      <c r="E22" s="64">
        <f>'Inputs and calcs'!$C$90/12</f>
        <v>2845</v>
      </c>
      <c r="F22" s="64">
        <f>'Inputs and calcs'!$C$90/12</f>
        <v>2845</v>
      </c>
      <c r="G22" s="64">
        <f>'Inputs and calcs'!$C$90/12</f>
        <v>2845</v>
      </c>
      <c r="H22" s="64">
        <f>'Inputs and calcs'!$C$90/12</f>
        <v>2845</v>
      </c>
      <c r="I22" s="64">
        <f>'Inputs and calcs'!$C$90/12</f>
        <v>2845</v>
      </c>
      <c r="J22" s="64">
        <f>'Inputs and calcs'!$C$90/12</f>
        <v>2845</v>
      </c>
      <c r="K22" s="64">
        <f>'Inputs and calcs'!$C$90/12</f>
        <v>2845</v>
      </c>
      <c r="L22" s="64">
        <f>'Inputs and calcs'!$C$90/12</f>
        <v>2845</v>
      </c>
      <c r="M22" s="64">
        <f>'Inputs and calcs'!$C$90/12</f>
        <v>2845</v>
      </c>
      <c r="N22" s="64">
        <f>SUM(B22:M22)</f>
        <v>34140</v>
      </c>
      <c r="O22" s="6"/>
    </row>
    <row r="23" spans="1:15" x14ac:dyDescent="0.3">
      <c r="A23" s="5" t="s">
        <v>77</v>
      </c>
      <c r="B23" s="2">
        <f>SUM(B19:B22)</f>
        <v>24008.343333333334</v>
      </c>
      <c r="N23" s="2">
        <f>SUM(B23:M23)</f>
        <v>24008.343333333334</v>
      </c>
      <c r="O23" s="11">
        <f>SUM(N19:N22)</f>
        <v>288100.12</v>
      </c>
    </row>
    <row r="24" spans="1:15" ht="15" thickBot="1" x14ac:dyDescent="0.35">
      <c r="A24" s="7" t="s">
        <v>78</v>
      </c>
      <c r="B24" s="8"/>
      <c r="C24" s="8"/>
      <c r="D24" s="54">
        <f>SUM(B19:D22)</f>
        <v>72025.03</v>
      </c>
      <c r="E24" s="8"/>
      <c r="F24" s="8"/>
      <c r="G24" s="54">
        <f>SUM(E19:G22)</f>
        <v>72025.03</v>
      </c>
      <c r="H24" s="8"/>
      <c r="I24" s="8"/>
      <c r="J24" s="54">
        <f>SUM(H19:J22)</f>
        <v>72025.03</v>
      </c>
      <c r="K24" s="8"/>
      <c r="L24" s="8"/>
      <c r="M24" s="54">
        <f>SUM(K19:M22)</f>
        <v>72025.03</v>
      </c>
      <c r="N24" s="54">
        <f>SUM(D24:M24)</f>
        <v>288100.12</v>
      </c>
      <c r="O24" s="12">
        <f>O13-O23</f>
        <v>-223100.12</v>
      </c>
    </row>
  </sheetData>
  <mergeCells count="2">
    <mergeCell ref="A1:B1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 and calcs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Carruthers</dc:creator>
  <cp:lastModifiedBy>Peter Carruthers</cp:lastModifiedBy>
  <cp:lastPrinted>2022-12-03T00:22:37Z</cp:lastPrinted>
  <dcterms:created xsi:type="dcterms:W3CDTF">2022-11-15T02:01:45Z</dcterms:created>
  <dcterms:modified xsi:type="dcterms:W3CDTF">2023-02-24T21:10:04Z</dcterms:modified>
</cp:coreProperties>
</file>